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<sst xmlns="http://schemas.openxmlformats.org/spreadsheetml/2006/main" count="126" uniqueCount="110">
  <si>
    <t>The Warehouse Group Limited (WHS.NZ)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</si>
  <si>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</si>
  <si>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</si>
  <si>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</si>
  <si>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</si>
  <si>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</si>
  <si>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</si>
  <si>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</si>
  <si>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</si>
  <si>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</si>
  <si>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</si>
  <si>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</si>
  <si>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</si>
  <si>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</si>
  <si>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</si>
  <si>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</si>
  <si>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</si>
  <si>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</si>
  <si>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</si>
  <si>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</si>
  <si>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</si>
  <si>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</si>
  <si>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</si>
  <si>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</si>
  <si>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Risk-free + 40bp, the spread for a AAA rating at 18.8x interest cover. Book interest / average debt was lower, at 0.3%.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</si>
  <si>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</si>
  <si>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</si>
  <si>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</si>
  <si>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</si>
  <si>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</si>
  <si>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</si>
  <si>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</si>
  <si>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2026-07-31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</si>
  <si>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</si>
  <si>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</si>
  <si>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</si>
  <si>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</si>
  <si>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</si>
  <si>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</si>
  <si>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</si>
  <si>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</si>
  <si>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</si>
  <si>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</si>
  <si>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</si>
  <si>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</si>
  <si>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</si>
  <si>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</si>
  <si>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</si>
  <si>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</si>
  <si>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</si>
  <si>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</si>
  <si>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</si>
  <si>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</si>
  <si>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</si>
  <si>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</si>
  <si>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</si>
  <si>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</si>
  <si>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</si>
  <si>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</si>
  <si>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</si>
  <si>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</si>
  <si>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(NZD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</si>
  <si>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</si>
  <si>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</si>
  <si>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</si>
  <si>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</si>
  <si>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</si>
  <si>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</si>
  <si>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</si>
  <si>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</si>
  <si>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</si>
  <si>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</si>
  <si>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</si>
  <si>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</si>
  <si>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</si>
  <si>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</si>
  <si>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</si>
  <si>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</si>
  <si>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</si>
  <si>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</si>
  <si>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</si>
  <si>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</si>
  <si>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</si>
  <si>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</si>
  <si>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</si>
  <si>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(NZD m, except shares)</t>
  </si>
  <si>
    <t>Fiscal year end</t>
  </si>
  <si>
    <t>2026-07-31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</si>
  <si>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</si>
  <si>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</si>
  <si>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</si>
  <si>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</si>
  <si>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</si>
  <si>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</si>
  <si>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</si>
  <si>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</si>
  <si>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</si>
  <si>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</si>
  <si>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</si>
  <si>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</si>
  <si>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</si>
  <si>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</si>
  <si>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</si>
  <si>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</si>
  <si>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</si>
  <si>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</si>
  <si>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</si>
  <si>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2.18% of revenue against depreciation and amortisation of 4.82%. A business cannot depreciate more than it invests indefinitely. Capex has been set to 4.82%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</si>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</sst>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0.020737927597126005</v>
      </c>
    </row>
    <row r="7" spans="1:2" x14ac:dyDescent="0.25">
      <c r="A7" t="s">
        <v>4</v>
      </c>
      <c r="B7" s="5">
        <v>0.027701875113084126</v>
      </c>
    </row>
    <row r="8" spans="1:2" x14ac:dyDescent="0.25">
      <c r="A8" t="s">
        <v>5</v>
      </c>
      <c r="B8" s="5">
        <v>0.28</v>
      </c>
    </row>
    <row r="9" spans="1:2" x14ac:dyDescent="0.25">
      <c r="A9" t="s">
        <v>6</v>
      </c>
      <c r="B9" s="5">
        <v>0.04823437716730881</v>
      </c>
    </row>
    <row r="10" spans="1:3" x14ac:dyDescent="0.25">
      <c r="A10" t="s">
        <v>7</v>
      </c>
      <c r="B10" s="5">
        <v>0.04823437716730881</v>
      </c>
      <c r="C10" s="6" t="s">
        <v>8</v>
      </c>
    </row>
    <row r="11" spans="1:2" x14ac:dyDescent="0.25">
      <c r="A11" t="s">
        <v>9</v>
      </c>
      <c r="B11" s="5">
        <v>0.08515298248161694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4.8283081081630375</v>
      </c>
    </row>
    <row r="14" spans="1:3" x14ac:dyDescent="0.25">
      <c r="A14" t="s">
        <v>12</v>
      </c>
      <c r="B14" s="5">
        <v>0.12772639555555515</v>
      </c>
      <c r="C14" s="6" t="s">
        <v>13</v>
      </c>
    </row>
    <row r="15" spans="1:3" x14ac:dyDescent="0.25">
      <c r="A15" t="s">
        <v>14</v>
      </c>
      <c r="B15" s="5">
        <v>0.04823437716730881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0.045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0.49883999999999995</v>
      </c>
      <c r="C19" s="6" t="s">
        <v>21</v>
      </c>
    </row>
    <row r="20" spans="1:2" x14ac:dyDescent="0.25">
      <c r="A20" t="s">
        <v>22</v>
      </c>
      <c r="B20" s="9">
        <f>B17+B19*B18</f>
        <v>0.066100932</v>
      </c>
    </row>
    <row r="21" spans="1:3" x14ac:dyDescent="0.25">
      <c r="A21" t="s">
        <v>23</v>
      </c>
      <c r="B21" s="5">
        <v>0.049</v>
      </c>
      <c r="C21" s="6" t="s">
        <v>24</v>
      </c>
    </row>
    <row r="22" spans="1:2" x14ac:dyDescent="0.25">
      <c r="A22" t="s">
        <v>25</v>
      </c>
      <c r="B22" s="10">
        <v>227933632</v>
      </c>
    </row>
    <row r="23" spans="1:2" x14ac:dyDescent="0.25">
      <c r="A23" t="s">
        <v>26</v>
      </c>
      <c r="B23" s="10">
        <v>764228000</v>
      </c>
    </row>
    <row r="24" spans="1:2" x14ac:dyDescent="0.25">
      <c r="A24" t="s">
        <v>27</v>
      </c>
      <c r="B24" s="9">
        <f>B22/(B22+B23)</f>
        <v>0.22973437457013052</v>
      </c>
    </row>
    <row r="25" spans="1:2" x14ac:dyDescent="0.25">
      <c r="A25" t="s">
        <v>28</v>
      </c>
      <c r="B25" s="9">
        <f>1-B24</f>
        <v>0.7702656254298694</v>
      </c>
    </row>
    <row r="26" spans="1:2" x14ac:dyDescent="0.25">
      <c r="A26" t="s">
        <v>29</v>
      </c>
      <c r="B26" s="11">
        <f>B24*B20+B25*B21*(1-B8)</f>
        <v>0.042360627536688525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3027587000</v>
      </c>
      <c r="C29" s="6" t="s">
        <v>32</v>
      </c>
    </row>
    <row r="30" spans="1:2" x14ac:dyDescent="0.25">
      <c r="A30" t="s">
        <v>33</v>
      </c>
      <c r="B30" s="10">
        <v>722345000</v>
      </c>
    </row>
    <row r="31" spans="1:2" x14ac:dyDescent="0.25">
      <c r="A31" t="s">
        <v>34</v>
      </c>
      <c r="B31" s="12">
        <v>345354000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0.020737927597126005</v>
      </c>
      <c r="C5" s="5">
        <v>0.027162515094295125</v>
      </c>
      <c r="D5" s="5">
        <v>0.026892200707508234</v>
      </c>
      <c r="E5" s="5">
        <v>0.026621886320721343</v>
      </c>
      <c r="F5" s="5">
        <v>0.026351571933934455</v>
      </c>
      <c r="G5" s="5">
        <v>0.026081257547147563</v>
      </c>
      <c r="H5" s="5">
        <v>0.025810943160360672</v>
      </c>
      <c r="I5" s="5">
        <v>0.025540628773573784</v>
      </c>
      <c r="J5" s="5">
        <v>0.025270314386786893</v>
      </c>
      <c r="K5" s="5">
        <v>0.025</v>
      </c>
    </row>
    <row r="6" spans="1:11" x14ac:dyDescent="0.25">
      <c r="A6" t="s">
        <v>50</v>
      </c>
      <c r="B6" s="18">
        <f>Assumptions!B29*(1+B5)</f>
        <v>3090372880</v>
      </c>
      <c r="C6" s="18">
        <f>B6*(1+C5)</f>
        <v>3174315180.0000005</v>
      </c>
      <c r="D6" s="18">
        <f>C6*(1+D5)</f>
        <v>3259679500.929451</v>
      </c>
      <c r="E6" s="18">
        <f>D6*(1+E5)</f>
        <v>3346458318.0451803</v>
      </c>
      <c r="F6" s="18">
        <f>E6*(1+F5)</f>
        <v>3434642755.137061</v>
      </c>
      <c r="G6" s="18">
        <f>F6*(1+G5)</f>
        <v>3524222557.4162354</v>
      </c>
      <c r="H6" s="18">
        <f>G6*(1+H5)</f>
        <v>3615186065.5301666</v>
      </c>
      <c r="I6" s="18">
        <f>H6*(1+I5)</f>
        <v>3707520190.7772694</v>
      </c>
      <c r="J6" s="18">
        <f>I6*(1+J5)</f>
        <v>3801210391.593571</v>
      </c>
      <c r="K6" s="18">
        <f>J6*(1+K5)</f>
        <v>3896240651.38341</v>
      </c>
    </row>
    <row r="7" spans="1:11" x14ac:dyDescent="0.25">
      <c r="A7" t="s">
        <v>4</v>
      </c>
      <c r="B7" s="9">
        <f>Assumptions!B7</f>
        <v>0.027701875113084126</v>
      </c>
      <c r="C7" s="9">
        <f>Assumptions!B7</f>
        <v>0.027701875113084126</v>
      </c>
      <c r="D7" s="9">
        <f>Assumptions!B7</f>
        <v>0.027701875113084126</v>
      </c>
      <c r="E7" s="9">
        <f>Assumptions!B7</f>
        <v>0.027701875113084126</v>
      </c>
      <c r="F7" s="9">
        <f>Assumptions!B7</f>
        <v>0.027701875113084126</v>
      </c>
      <c r="G7" s="9">
        <f>Assumptions!B7</f>
        <v>0.027701875113084126</v>
      </c>
      <c r="H7" s="9">
        <f>Assumptions!B7</f>
        <v>0.027701875113084126</v>
      </c>
      <c r="I7" s="9">
        <f>Assumptions!B7</f>
        <v>0.027701875113084126</v>
      </c>
      <c r="J7" s="9">
        <f>Assumptions!B7</f>
        <v>0.027701875113084126</v>
      </c>
      <c r="K7" s="9">
        <f>Assumptions!B7</f>
        <v>0.027701875113084126</v>
      </c>
    </row>
    <row r="8" spans="1:11" x14ac:dyDescent="0.25">
      <c r="A8" t="s">
        <v>51</v>
      </c>
      <c r="B8" s="18">
        <f>B6*B7</f>
        <v>85609123.57462211</v>
      </c>
      <c r="C8" s="18">
        <f>C6*C7</f>
        <v>87934482.68592717</v>
      </c>
      <c r="D8" s="18">
        <f>D6*D7</f>
        <v>90299234.44342804</v>
      </c>
      <c r="E8" s="18">
        <f>E6*E7</f>
        <v>92703170.39762914</v>
      </c>
      <c r="F8" s="18">
        <f>F6*F7</f>
        <v>95146044.66086605</v>
      </c>
      <c r="G8" s="18">
        <f>G6*G7</f>
        <v>97627573.15625851</v>
      </c>
      <c r="H8" s="18">
        <f>H6*H7</f>
        <v>100147432.89787865</v>
      </c>
      <c r="I8" s="18">
        <f>I6*I7</f>
        <v>102705261.30414975</v>
      </c>
      <c r="J8" s="18">
        <f>J6*J7</f>
        <v>105300655.54648271</v>
      </c>
      <c r="K8" s="18">
        <f>K6*K7</f>
        <v>107933171.93514477</v>
      </c>
    </row>
    <row r="9" spans="1:11" x14ac:dyDescent="0.25">
      <c r="A9" t="s">
        <v>52</v>
      </c>
      <c r="B9" s="18">
        <f>B8*(1-Assumptions!B8)</f>
        <v>61638568.97372792</v>
      </c>
      <c r="C9" s="18">
        <f>C8*(1-Assumptions!B8)</f>
        <v>63312827.53386756</v>
      </c>
      <c r="D9" s="18">
        <f>D8*(1-Assumptions!B8)</f>
        <v>65015448.799268186</v>
      </c>
      <c r="E9" s="18">
        <f>E8*(1-Assumptions!B8)</f>
        <v>66746282.686292976</v>
      </c>
      <c r="F9" s="18">
        <f>F8*(1-Assumptions!B8)</f>
        <v>68505152.15582356</v>
      </c>
      <c r="G9" s="18">
        <f>G8*(1-Assumptions!B8)</f>
        <v>70291852.67250612</v>
      </c>
      <c r="H9" s="18">
        <f>H8*(1-Assumptions!B8)</f>
        <v>72106151.68647262</v>
      </c>
      <c r="I9" s="18">
        <f>I8*(1-Assumptions!B8)</f>
        <v>73947788.13898781</v>
      </c>
      <c r="J9" s="18">
        <f>J8*(1-Assumptions!B8)</f>
        <v>75816471.99346755</v>
      </c>
      <c r="K9" s="18">
        <f>K8*(1-Assumptions!B8)</f>
        <v>77711883.79330423</v>
      </c>
    </row>
    <row r="10" spans="1:11" x14ac:dyDescent="0.25">
      <c r="A10" t="s">
        <v>53</v>
      </c>
      <c r="B10" s="18">
        <f>B6*Assumptions!B9</f>
        <v>149062211.08154237</v>
      </c>
      <c r="C10" s="18">
        <f>C6*Assumptions!B9</f>
        <v>153111115.64003378</v>
      </c>
      <c r="D10" s="18">
        <f>D6*Assumptions!B9</f>
        <v>157228610.4923761</v>
      </c>
      <c r="E10" s="18">
        <f>E6*Assumptions!B9</f>
        <v>161414332.6872691</v>
      </c>
      <c r="F10" s="18">
        <f>F6*Assumptions!B9</f>
        <v>165667854.0862457</v>
      </c>
      <c r="G10" s="18">
        <f>G6*Assumptions!B9</f>
        <v>169988680.0559523</v>
      </c>
      <c r="H10" s="18">
        <f>H6*Assumptions!B9</f>
        <v>174376248.21478122</v>
      </c>
      <c r="I10" s="18">
        <f>I6*Assumptions!B9</f>
        <v>178829927.23736352</v>
      </c>
      <c r="J10" s="18">
        <f>J6*Assumptions!B9</f>
        <v>183349015.72041792</v>
      </c>
      <c r="K10" s="18">
        <f>K6*Assumptions!B9</f>
        <v>187932741.11342835</v>
      </c>
    </row>
    <row r="11" spans="1:11" x14ac:dyDescent="0.25">
      <c r="A11" t="s">
        <v>54</v>
      </c>
      <c r="B11" s="18">
        <f>-B6*B19</f>
        <v>-149062211.08154237</v>
      </c>
      <c r="C11" s="18">
        <f>-C6*C19</f>
        <v>-154488035.1452535</v>
      </c>
      <c r="D11" s="18">
        <f>-D6*D19</f>
        <v>-160056506.29420045</v>
      </c>
      <c r="E11" s="18">
        <f>-E6*E19</f>
        <v>-165769102.27085015</v>
      </c>
      <c r="F11" s="18">
        <f>-F6*F19</f>
        <v>-171627220.2296037</v>
      </c>
      <c r="G11" s="18">
        <f>-G6*G19</f>
        <v>-177632172.43915316</v>
      </c>
      <c r="H11" s="18">
        <f>-H6*H19</f>
        <v>-183785181.97156158</v>
      </c>
      <c r="I11" s="18">
        <f>-I6*I19</f>
        <v>-190087378.3852172</v>
      </c>
      <c r="J11" s="18">
        <f>-J6*J19</f>
        <v>-196539793.40905088</v>
      </c>
      <c r="K11" s="18">
        <f>-K6*K19</f>
        <v>-203143356.63563323</v>
      </c>
    </row>
    <row r="12" spans="1:11" x14ac:dyDescent="0.25">
      <c r="A12" t="s">
        <v>55</v>
      </c>
      <c r="B12" s="18">
        <f>-(B6-Assumptions!B29)*Assumptions!B11</f>
        <v>-5346404.939732904</v>
      </c>
      <c r="C12" s="18">
        <f>-(C6-B6)*Assumptions!B11</f>
        <v>-7147937.201366674</v>
      </c>
      <c r="D12" s="18">
        <f>-(D6-C6)*Assumptions!B11</f>
        <v>-7269026.524660626</v>
      </c>
      <c r="E12" s="18">
        <f>-(E6-D6)*Assumptions!B11</f>
        <v>-7389475.09363114</v>
      </c>
      <c r="F12" s="18">
        <f>-(F6-E6)*Assumptions!B11</f>
        <v>-7509167.826836177</v>
      </c>
      <c r="G12" s="18">
        <f>-(G6-F6)*Assumptions!B11</f>
        <v>-7627987.334185241</v>
      </c>
      <c r="H12" s="18">
        <f>-(H6-G6)*Assumptions!B11</f>
        <v>-7745814.012892002</v>
      </c>
      <c r="I12" s="18">
        <f>-(I6-H6)*Assumptions!B11</f>
        <v>-7862526.149621964</v>
      </c>
      <c r="J12" s="18">
        <f>-(J6-I6)*Assumptions!B11</f>
        <v>-7978000.0288097225</v>
      </c>
      <c r="K12" s="18">
        <f>-(K6-J6)*Assumptions!B11</f>
        <v>-8092110.04710765</v>
      </c>
    </row>
    <row r="13" spans="1:11" x14ac:dyDescent="0.25">
      <c r="A13" s="19" t="s">
        <v>56</v>
      </c>
      <c r="B13" s="20">
        <f>B9+B10+B11+B12</f>
        <v>56292164.03399501</v>
      </c>
      <c r="C13" s="20">
        <f>C9+C10+C11+C12</f>
        <v>54787970.82728116</v>
      </c>
      <c r="D13" s="20">
        <f>D9+D10+D11+D12</f>
        <v>54918526.4727832</v>
      </c>
      <c r="E13" s="20">
        <f>E9+E10+E11+E12</f>
        <v>55002038.009080775</v>
      </c>
      <c r="F13" s="20">
        <f>F9+F10+F11+F12</f>
        <v>55036618.18562936</v>
      </c>
      <c r="G13" s="20">
        <f>G9+G10+G11+G12</f>
        <v>55020372.95512003</v>
      </c>
      <c r="H13" s="20">
        <f>H9+H10+H11+H12</f>
        <v>54951403.91680027</v>
      </c>
      <c r="I13" s="20">
        <f>I9+I10+I11+I12</f>
        <v>54827810.84151217</v>
      </c>
      <c r="J13" s="20">
        <f>J9+J10+J11+J12</f>
        <v>54647694.27602488</v>
      </c>
      <c r="K13" s="20">
        <f>K9+K10+K11+K12</f>
        <v>54409158.22399171</v>
      </c>
    </row>
    <row r="14" spans="1:11" x14ac:dyDescent="0.25">
      <c r="A14" t="s">
        <v>57</v>
      </c>
      <c r="B14" s="21">
        <f>1/(1+Assumptions!$B$26)^(1-0.5*Assumptions!$B$32)</f>
        <v>0.9794696888884226</v>
      </c>
      <c r="C14" s="21">
        <f>1/(1+Assumptions!$B$26)^(2-0.5*Assumptions!$B$32)</f>
        <v>0.9396648942920167</v>
      </c>
      <c r="D14" s="21">
        <f>1/(1+Assumptions!$B$26)^(3-0.5*Assumptions!$B$32)</f>
        <v>0.9014777318600733</v>
      </c>
      <c r="E14" s="21">
        <f>1/(1+Assumptions!$B$26)^(4-0.5*Assumptions!$B$32)</f>
        <v>0.8648424624311163</v>
      </c>
      <c r="F14" s="21">
        <f>1/(1+Assumptions!$B$26)^(5-0.5*Assumptions!$B$32)</f>
        <v>0.8296960184259031</v>
      </c>
      <c r="G14" s="21">
        <f>1/(1+Assumptions!$B$26)^(6-0.5*Assumptions!$B$32)</f>
        <v>0.7959778952766514</v>
      </c>
      <c r="H14" s="21">
        <f>1/(1+Assumptions!$B$26)^(7-0.5*Assumptions!$B$32)</f>
        <v>0.7636300472684873</v>
      </c>
      <c r="I14" s="21">
        <f>1/(1+Assumptions!$B$26)^(8-0.5*Assumptions!$B$32)</f>
        <v>0.7325967876138043</v>
      </c>
      <c r="J14" s="21">
        <f>1/(1+Assumptions!$B$26)^(9-0.5*Assumptions!$B$32)</f>
        <v>0.7028246925875169</v>
      </c>
      <c r="K14" s="21">
        <f>1/(1+Assumptions!$B$26)^(10-0.5*Assumptions!$B$32)</f>
        <v>0.6742625095581704</v>
      </c>
    </row>
    <row r="15" spans="1:11" x14ac:dyDescent="0.25">
      <c r="A15" s="19" t="s">
        <v>58</v>
      </c>
      <c r="B15" s="20">
        <f>B13*B14</f>
        <v>55136468.39323314</v>
      </c>
      <c r="C15" s="20">
        <f>C13*C14</f>
        <v>51482332.81589125</v>
      </c>
      <c r="D15" s="20">
        <f>D13*D14</f>
        <v>49507828.68178199</v>
      </c>
      <c r="E15" s="20">
        <f>E13*E14</f>
        <v>47568097.990503274</v>
      </c>
      <c r="F15" s="20">
        <f>F13*F14</f>
        <v>45663662.97624333</v>
      </c>
      <c r="G15" s="20">
        <f>G13*G14</f>
        <v>43795000.662152834</v>
      </c>
      <c r="H15" s="20">
        <f>H13*H14</f>
        <v>41962543.170455925</v>
      </c>
      <c r="I15" s="20">
        <f>I13*I14</f>
        <v>40166678.09438913</v>
      </c>
      <c r="J15" s="20">
        <f>J13*J14</f>
        <v>38407748.93016379</v>
      </c>
      <c r="K15" s="20">
        <f>K13*K14</f>
        <v>36686055.56705621</v>
      </c>
    </row>
    <row r="17" spans="1:2" x14ac:dyDescent="0.25">
      <c r="A17" s="22" t="s">
        <v>59</v>
      </c>
      <c r="B17" s="23">
        <f>SUM(B15:K15)</f>
        <v>450376417.28187096</v>
      </c>
    </row>
    <row r="19" spans="1:11" x14ac:dyDescent="0.25">
      <c r="A19" t="s">
        <v>7</v>
      </c>
      <c r="B19" s="9">
        <f>Assumptions!$B$10+($B$20-Assumptions!$B$10)*0/9</f>
        <v>0.04823437716730881</v>
      </c>
      <c r="C19" s="9">
        <f>Assumptions!$B$10+($B$20-Assumptions!$B$10)*1/9</f>
        <v>0.048668146162238836</v>
      </c>
      <c r="D19" s="9">
        <f>Assumptions!$B$10+($B$20-Assumptions!$B$10)*2/9</f>
        <v>0.049101915157168864</v>
      </c>
      <c r="E19" s="9">
        <f>Assumptions!$B$10+($B$20-Assumptions!$B$10)*3/9</f>
        <v>0.04953568415209889</v>
      </c>
      <c r="F19" s="9">
        <f>Assumptions!$B$10+($B$20-Assumptions!$B$10)*4/9</f>
        <v>0.04996945314702892</v>
      </c>
      <c r="G19" s="9">
        <f>Assumptions!$B$10+($B$20-Assumptions!$B$10)*5/9</f>
        <v>0.05040322214195894</v>
      </c>
      <c r="H19" s="9">
        <f>Assumptions!$B$10+($B$20-Assumptions!$B$10)*6/9</f>
        <v>0.05083699113688897</v>
      </c>
      <c r="I19" s="9">
        <f>Assumptions!$B$10+($B$20-Assumptions!$B$10)*7/9</f>
        <v>0.051270760131819</v>
      </c>
      <c r="J19" s="9">
        <f>Assumptions!$B$10+($B$20-Assumptions!$B$10)*8/9</f>
        <v>0.05170452912674903</v>
      </c>
      <c r="K19" s="9">
        <f>Assumptions!$B$10+($B$20-Assumptions!$B$10)*9/9</f>
        <v>0.052138298121679055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0.052138298121679055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54409158.22399171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77711883.79330423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0.19573088155553675</v>
      </c>
    </row>
    <row r="7" spans="1:2" x14ac:dyDescent="0.25">
      <c r="A7" t="s">
        <v>66</v>
      </c>
      <c r="B7" s="18">
        <f>-MAX(B5,0)*B6</f>
        <v>-15210615.522204867</v>
      </c>
    </row>
    <row r="8" spans="1:2" x14ac:dyDescent="0.25">
      <c r="A8" t="s">
        <v>67</v>
      </c>
      <c r="B8" s="18">
        <f>IF(OR(Assumptions!$B$33=0,Assumptions!B12&lt;=0),B5,MAX(B5+B7,0))</f>
        <v>62501268.271099366</v>
      </c>
    </row>
    <row r="9" spans="1:2" x14ac:dyDescent="0.25">
      <c r="A9" t="s">
        <v>68</v>
      </c>
      <c r="B9" s="18">
        <f>B8*(1+Assumptions!B12)/(Assumptions!B26-Assumptions!B12)</f>
        <v>3690177664.516428</v>
      </c>
    </row>
    <row r="10" spans="1:2" x14ac:dyDescent="0.25">
      <c r="A10" t="s">
        <v>69</v>
      </c>
      <c r="B10" s="18">
        <f>B9/(1+Assumptions!B26)^(10-0.5*Assumptions!B32)</f>
        <v>2488148452.7923546</v>
      </c>
    </row>
    <row r="11" spans="1:2" x14ac:dyDescent="0.25">
      <c r="A11" t="s">
        <v>70</v>
      </c>
      <c r="B11" s="18">
        <f>Forecast!B17+B10</f>
        <v>2938524870.0742254</v>
      </c>
    </row>
    <row r="12" spans="1:2" x14ac:dyDescent="0.25">
      <c r="A12" t="s">
        <v>71</v>
      </c>
      <c r="B12" s="18">
        <f>-Assumptions!B30</f>
        <v>-722345000</v>
      </c>
    </row>
    <row r="13" spans="1:2" x14ac:dyDescent="0.25">
      <c r="A13" t="s">
        <v>72</v>
      </c>
      <c r="B13" s="18">
        <f>B11+B12</f>
        <v>2216179870.0742254</v>
      </c>
    </row>
    <row r="14" spans="1:2" x14ac:dyDescent="0.25">
      <c r="A14" s="19" t="s">
        <v>73</v>
      </c>
      <c r="B14" s="24">
        <f>B13/Assumptions!B31</f>
        <v>6.417125239824138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295865913.04857314</v>
      </c>
    </row>
    <row r="18" spans="1:2" x14ac:dyDescent="0.25">
      <c r="A18" t="s">
        <v>68</v>
      </c>
      <c r="B18" s="18">
        <f>B17*Assumptions!B13</f>
        <v>1428531786.901486</v>
      </c>
    </row>
    <row r="19" spans="1:2" x14ac:dyDescent="0.25">
      <c r="A19" t="s">
        <v>69</v>
      </c>
      <c r="B19" s="18">
        <f>B18/(1+Assumptions!B26)^(10-0.5*Assumptions!B32)</f>
        <v>963205427.6198133</v>
      </c>
    </row>
    <row r="20" spans="1:2" x14ac:dyDescent="0.25">
      <c r="A20" t="s">
        <v>70</v>
      </c>
      <c r="B20" s="18">
        <f>Forecast!B17+B19</f>
        <v>1413581844.9016843</v>
      </c>
    </row>
    <row r="21" spans="1:2" x14ac:dyDescent="0.25">
      <c r="A21" t="s">
        <v>71</v>
      </c>
      <c r="B21" s="18">
        <f>-Assumptions!B30</f>
        <v>-722345000</v>
      </c>
    </row>
    <row r="22" spans="1:2" x14ac:dyDescent="0.25">
      <c r="A22" t="s">
        <v>72</v>
      </c>
      <c r="B22" s="18">
        <f>B20+B21</f>
        <v>691236844.9016843</v>
      </c>
    </row>
    <row r="23" spans="1:2" x14ac:dyDescent="0.25">
      <c r="A23" s="19" t="s">
        <v>73</v>
      </c>
      <c r="B23" s="25">
        <f>B22/Assumptions!B31</f>
        <v>2.001531312513202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0.66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6.417125239824138</v>
      </c>
    </row>
    <row r="29" spans="1:2" x14ac:dyDescent="0.25">
      <c r="A29" s="19" t="s">
        <v>81</v>
      </c>
      <c r="B29" s="11">
        <f>B28/B26-1</f>
        <v>8.722917030036571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0.022361</v>
      </c>
      <c r="B5" s="31">
        <v>21.603283152477072</v>
      </c>
      <c r="C5" s="31">
        <v>65.82785348749499</v>
      </c>
      <c r="D5" s="31" t="s">
        <v>84</v>
      </c>
      <c r="E5" s="31" t="s">
        <v>84</v>
      </c>
      <c r="F5" s="31" t="s">
        <v>84</v>
      </c>
    </row>
    <row r="6" spans="1:6" x14ac:dyDescent="0.25">
      <c r="A6" s="30">
        <v>0.032361</v>
      </c>
      <c r="B6" s="31">
        <v>7.91839742885432</v>
      </c>
      <c r="C6" s="31">
        <v>10.87788509932408</v>
      </c>
      <c r="D6" s="31">
        <v>17.894040481434953</v>
      </c>
      <c r="E6" s="31">
        <v>54.73984776604528</v>
      </c>
      <c r="F6" s="31" t="s">
        <v>84</v>
      </c>
    </row>
    <row r="7" spans="1:6" x14ac:dyDescent="0.25">
      <c r="A7" s="30">
        <v>0.042361</v>
      </c>
      <c r="B7" s="31">
        <v>4.241972891419986</v>
      </c>
      <c r="C7" s="31">
        <v>5.080680500074467</v>
      </c>
      <c r="D7" s="32">
        <v>6.416944052310845</v>
      </c>
      <c r="E7" s="31">
        <v>8.854544727137977</v>
      </c>
      <c r="F7" s="31">
        <v>14.637750536899473</v>
      </c>
    </row>
    <row r="8" spans="1:6" x14ac:dyDescent="0.25">
      <c r="A8" s="30">
        <v>0.052361</v>
      </c>
      <c r="B8" s="31">
        <v>2.5370275092339014</v>
      </c>
      <c r="C8" s="31">
        <v>2.869175799166918</v>
      </c>
      <c r="D8" s="31">
        <v>3.331374447429499</v>
      </c>
      <c r="E8" s="31">
        <v>4.010862637195182</v>
      </c>
      <c r="F8" s="31">
        <v>5.095379733854585</v>
      </c>
    </row>
    <row r="9" spans="1:6" x14ac:dyDescent="0.25">
      <c r="A9" s="30">
        <v>0.062361</v>
      </c>
      <c r="B9" s="31">
        <v>1.5544660316250432</v>
      </c>
      <c r="C9" s="31">
        <v>1.703716943506266</v>
      </c>
      <c r="D9" s="31">
        <v>1.8989026327839327</v>
      </c>
      <c r="E9" s="31">
        <v>2.161314829038303</v>
      </c>
      <c r="F9" s="31">
        <v>2.5278088228161573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85</v>
      </c>
    </row>
    <row r="4" spans="1:6" x14ac:dyDescent="0.25">
      <c r="A4" s="16" t="s">
        <v>86</v>
      </c>
      <c r="B4" s="17" t="s">
        <v>87</v>
      </c>
      <c r="C4" s="17" t="s">
        <v>88</v>
      </c>
      <c r="D4" s="17" t="s">
        <v>89</v>
      </c>
      <c r="E4" s="17" t="s">
        <v>90</v>
      </c>
      <c r="F4" s="33" t="s">
        <v>91</v>
      </c>
    </row>
    <row r="5" spans="1:6" x14ac:dyDescent="0.25">
      <c r="A5" t="s">
        <v>50</v>
      </c>
      <c r="B5" s="18">
        <v>3027587000</v>
      </c>
      <c r="C5" s="18">
        <v>3037597000</v>
      </c>
      <c r="D5" s="18">
        <v>3399112000</v>
      </c>
      <c r="E5" s="18">
        <v>3294332000</v>
      </c>
      <c r="F5" s="6" t="s">
        <v>92</v>
      </c>
    </row>
    <row r="6" spans="1:6" x14ac:dyDescent="0.25">
      <c r="A6" t="s">
        <v>51</v>
      </c>
      <c r="B6" s="18">
        <v>49918000</v>
      </c>
      <c r="C6" s="18">
        <v>61323000</v>
      </c>
      <c r="D6" s="18">
        <v>94995000</v>
      </c>
      <c r="E6" s="18">
        <v>152148000</v>
      </c>
      <c r="F6" s="6" t="s">
        <v>93</v>
      </c>
    </row>
    <row r="7" spans="1:6" x14ac:dyDescent="0.25">
      <c r="A7" t="s">
        <v>94</v>
      </c>
      <c r="B7" s="18">
        <v>146896000</v>
      </c>
      <c r="C7" s="18">
        <v>158558000</v>
      </c>
      <c r="D7" s="18">
        <v>162696000</v>
      </c>
      <c r="E7" s="18">
        <v>146122000</v>
      </c>
      <c r="F7" s="6" t="s">
        <v>95</v>
      </c>
    </row>
    <row r="8" spans="1:6" x14ac:dyDescent="0.25">
      <c r="A8" t="s">
        <v>96</v>
      </c>
      <c r="B8" s="18">
        <v>19446000</v>
      </c>
      <c r="C8" s="18">
        <v>39284000</v>
      </c>
      <c r="D8" s="18">
        <v>115088000</v>
      </c>
      <c r="E8" s="18">
        <v>111969000</v>
      </c>
      <c r="F8" s="6" t="s">
        <v>97</v>
      </c>
    </row>
    <row r="9" spans="1:6" x14ac:dyDescent="0.25">
      <c r="A9" t="s">
        <v>98</v>
      </c>
      <c r="B9" s="18">
        <v>0</v>
      </c>
      <c r="C9" s="18">
        <v>-60725000</v>
      </c>
      <c r="D9" s="18">
        <v>-39125000</v>
      </c>
      <c r="E9" s="18">
        <v>0</v>
      </c>
      <c r="F9" s="6" t="s">
        <v>99</v>
      </c>
    </row>
    <row r="10" spans="1:6" x14ac:dyDescent="0.25">
      <c r="A10" t="s">
        <v>100</v>
      </c>
      <c r="B10" s="18">
        <v>764228000</v>
      </c>
      <c r="C10" s="18">
        <v>819712000</v>
      </c>
      <c r="D10" s="18">
        <v>879558000</v>
      </c>
      <c r="E10" s="18">
        <v>886990000</v>
      </c>
      <c r="F10" s="6" t="s">
        <v>101</v>
      </c>
    </row>
    <row r="11" spans="1:6" x14ac:dyDescent="0.25">
      <c r="A11" t="s">
        <v>102</v>
      </c>
      <c r="B11" s="18">
        <v>41883000</v>
      </c>
      <c r="C11" s="18">
        <v>32204000</v>
      </c>
      <c r="D11" s="18">
        <v>28330000</v>
      </c>
      <c r="E11" s="18">
        <v>24999000</v>
      </c>
      <c r="F11" s="6" t="s">
        <v>103</v>
      </c>
    </row>
    <row r="12" spans="1:6" x14ac:dyDescent="0.25">
      <c r="A12" t="s">
        <v>34</v>
      </c>
      <c r="B12" s="34">
        <v>345354000</v>
      </c>
      <c r="C12" s="34">
        <v>345354000</v>
      </c>
      <c r="D12" s="34">
        <v>345354000</v>
      </c>
      <c r="E12" s="34">
        <v>346843000</v>
      </c>
      <c r="F12" s="6" t="s">
        <v>104</v>
      </c>
    </row>
    <row r="15" spans="1:1" x14ac:dyDescent="0.25">
      <c r="A15" s="19" t="s">
        <v>105</v>
      </c>
    </row>
    <row r="16" ht="22" customHeight="1" spans="1:6" x14ac:dyDescent="0.25">
      <c r="A16" s="35" t="s">
        <v>106</v>
      </c>
      <c r="B16" s="35"/>
      <c r="C16" s="35"/>
      <c r="D16" s="35"/>
      <c r="E16" s="35"/>
      <c r="F16" s="35"/>
    </row>
    <row r="17" ht="70" customHeight="1" spans="1:6" x14ac:dyDescent="0.25">
      <c r="A17" s="35" t="s">
        <v>107</v>
      </c>
      <c r="B17" s="35"/>
      <c r="C17" s="35"/>
      <c r="D17" s="35"/>
      <c r="E17" s="35"/>
      <c r="F17" s="35"/>
    </row>
    <row r="18" ht="22" customHeight="1" spans="1:6" x14ac:dyDescent="0.25">
      <c r="A18" s="35" t="s">
        <v>108</v>
      </c>
      <c r="B18" s="35"/>
      <c r="C18" s="35"/>
      <c r="D18" s="35"/>
      <c r="E18" s="35"/>
      <c r="F18" s="35"/>
    </row>
    <row r="20" spans="1:1" x14ac:dyDescent="0.25">
      <c r="A20" s="36" t="s">
        <v>109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