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<sst xmlns="http://schemas.openxmlformats.org/spreadsheetml/2006/main" count="112" uniqueCount="100">
  <si>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Wolters Kluwer N.V. (WKL.AS)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</si>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</sst>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0.03949769769683886</v>
      </c>
    </row>
    <row r="7" spans="1:2" x14ac:dyDescent="0.25">
      <c r="A7" t="s">
        <v>5</v>
      </c>
      <c r="B7" s="6">
        <v>0.25396527642425676</v>
      </c>
    </row>
    <row r="8" spans="1:2" x14ac:dyDescent="0.25">
      <c r="A8" t="s">
        <v>6</v>
      </c>
      <c r="B8" s="6">
        <v>0.2118865636120233</v>
      </c>
    </row>
    <row r="9" spans="1:2" x14ac:dyDescent="0.25">
      <c r="A9" t="s">
        <v>7</v>
      </c>
      <c r="B9" s="6">
        <v>0.07758797148579105</v>
      </c>
    </row>
    <row r="10" spans="1:2" x14ac:dyDescent="0.25">
      <c r="A10" t="s">
        <v>8</v>
      </c>
      <c r="B10" s="6">
        <v>0.05374847631644949</v>
      </c>
    </row>
    <row r="11" spans="1:2" x14ac:dyDescent="0.25">
      <c r="A11" t="s">
        <v>9</v>
      </c>
      <c r="B11" s="6">
        <v>-0.49760765550239233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8.916804137674418</v>
      </c>
    </row>
    <row r="14" spans="1:3" x14ac:dyDescent="0.25">
      <c r="A14" t="s">
        <v>12</v>
      </c>
      <c r="B14" s="6">
        <v>0.2178471224863041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0.45663</v>
      </c>
      <c r="C19" s="8" t="s">
        <v>19</v>
      </c>
    </row>
    <row r="20" spans="1:2" x14ac:dyDescent="0.25">
      <c r="A20" t="s">
        <v>20</v>
      </c>
      <c r="B20" s="10">
        <f>B17+B19*B18</f>
        <v>0.07168095000000001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15170128896</v>
      </c>
    </row>
    <row r="23" spans="1:2" x14ac:dyDescent="0.25">
      <c r="A23" t="s">
        <v>24</v>
      </c>
      <c r="B23" s="11">
        <v>4933000000</v>
      </c>
    </row>
    <row r="24" spans="1:2" x14ac:dyDescent="0.25">
      <c r="A24" t="s">
        <v>25</v>
      </c>
      <c r="B24" s="10">
        <f>B22/(B22+B23)</f>
        <v>0.7546153125953673</v>
      </c>
    </row>
    <row r="25" spans="1:2" x14ac:dyDescent="0.25">
      <c r="A25" t="s">
        <v>26</v>
      </c>
      <c r="B25" s="10">
        <f>1-B24</f>
        <v>0.2453846874046327</v>
      </c>
    </row>
    <row r="26" spans="1:2" x14ac:dyDescent="0.25">
      <c r="A26" t="s">
        <v>27</v>
      </c>
      <c r="B26" s="12">
        <f>B24*B20+B25*B21*(1-B8)</f>
        <v>0.06221396319893599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6125000000</v>
      </c>
      <c r="C29" s="8" t="s">
        <v>30</v>
      </c>
    </row>
    <row r="30" spans="1:2" x14ac:dyDescent="0.25">
      <c r="A30" t="s">
        <v>31</v>
      </c>
      <c r="B30" s="11">
        <v>4001000000</v>
      </c>
    </row>
    <row r="31" spans="1:2" x14ac:dyDescent="0.25">
      <c r="A31" t="s">
        <v>32</v>
      </c>
      <c r="B31" s="13">
        <v>231800000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0.03949769769683886</v>
      </c>
      <c r="C5" s="10">
        <f>Assumptions!B6</f>
        <v>0.03949769769683886</v>
      </c>
      <c r="D5" s="10">
        <f>Assumptions!B6</f>
        <v>0.03949769769683886</v>
      </c>
      <c r="E5" s="10">
        <f>Assumptions!B6</f>
        <v>0.03949769769683886</v>
      </c>
      <c r="F5" s="10">
        <f>Assumptions!B6</f>
        <v>0.03949769769683886</v>
      </c>
    </row>
    <row r="6" spans="1:6" x14ac:dyDescent="0.25">
      <c r="A6" t="s">
        <v>43</v>
      </c>
      <c r="B6" s="18">
        <f>Assumptions!B29*(1+B5)</f>
        <v>6366923398.393138</v>
      </c>
      <c r="C6" s="18">
        <f>B6*(1+C5)</f>
        <v>6618402214.0418005</v>
      </c>
      <c r="D6" s="18">
        <f>C6*(1+D5)</f>
        <v>6879813863.928113</v>
      </c>
      <c r="E6" s="18">
        <f>D6*(1+E5)</f>
        <v>7151550672.136066</v>
      </c>
      <c r="F6" s="18">
        <f>E6*(1+F5)</f>
        <v>7434020458.647721</v>
      </c>
    </row>
    <row r="7" spans="1:6" x14ac:dyDescent="0.25">
      <c r="A7" t="s">
        <v>5</v>
      </c>
      <c r="B7" s="10">
        <f>Assumptions!B7</f>
        <v>0.25396527642425676</v>
      </c>
      <c r="C7" s="10">
        <f>Assumptions!B7</f>
        <v>0.25396527642425676</v>
      </c>
      <c r="D7" s="10">
        <f>Assumptions!B7</f>
        <v>0.25396527642425676</v>
      </c>
      <c r="E7" s="10">
        <f>Assumptions!B7</f>
        <v>0.25396527642425676</v>
      </c>
      <c r="F7" s="10">
        <f>Assumptions!B7</f>
        <v>0.25396527642425676</v>
      </c>
    </row>
    <row r="8" spans="1:6" x14ac:dyDescent="0.25">
      <c r="A8" t="s">
        <v>44</v>
      </c>
      <c r="B8" s="18">
        <f>B6*B7</f>
        <v>1616977460.8449814</v>
      </c>
      <c r="C8" s="18">
        <f>C6*C7</f>
        <v>1680844347.776039</v>
      </c>
      <c r="D8" s="18">
        <f>D6*D7</f>
        <v>1747233829.699937</v>
      </c>
      <c r="E8" s="18">
        <f>E6*E7</f>
        <v>1816245543.3111153</v>
      </c>
      <c r="F8" s="18">
        <f>F6*F7</f>
        <v>1887983060.7240486</v>
      </c>
    </row>
    <row r="9" spans="1:6" x14ac:dyDescent="0.25">
      <c r="A9" t="s">
        <v>45</v>
      </c>
      <c r="B9" s="18">
        <f>B8*(1-Assumptions!B8)</f>
        <v>1274361663.2284434</v>
      </c>
      <c r="C9" s="18">
        <f>C8*(1-Assumptions!B8)</f>
        <v>1324696014.9590814</v>
      </c>
      <c r="D9" s="18">
        <f>D8*(1-Assumptions!B8)</f>
        <v>1377018457.6981423</v>
      </c>
      <c r="E9" s="18">
        <f>E8*(1-Assumptions!B8)</f>
        <v>1431407516.463271</v>
      </c>
      <c r="F9" s="18">
        <f>F8*(1-Assumptions!B8)</f>
        <v>1487944817.82952</v>
      </c>
    </row>
    <row r="10" spans="1:6" x14ac:dyDescent="0.25">
      <c r="A10" t="s">
        <v>46</v>
      </c>
      <c r="B10" s="18">
        <f>B6*Assumptions!B9</f>
        <v>493996671.08674264</v>
      </c>
      <c r="C10" s="18">
        <f>C6*Assumptions!B9</f>
        <v>513508402.2645716</v>
      </c>
      <c r="D10" s="18">
        <f>D6*Assumptions!B9</f>
        <v>533790801.90200436</v>
      </c>
      <c r="E10" s="18">
        <f>E6*Assumptions!B9</f>
        <v>554874309.628883</v>
      </c>
      <c r="F10" s="18">
        <f>F6*Assumptions!B9</f>
        <v>576790567.3703467</v>
      </c>
    </row>
    <row r="11" spans="1:6" x14ac:dyDescent="0.25">
      <c r="A11" t="s">
        <v>47</v>
      </c>
      <c r="B11" s="18">
        <f>-B6*Assumptions!B10</f>
        <v>-342212431.48718166</v>
      </c>
      <c r="C11" s="18">
        <f>-C6*Assumptions!B10</f>
        <v>-355729034.6541626</v>
      </c>
      <c r="D11" s="18">
        <f>-D6*Assumptions!B10</f>
        <v>-369779512.52692103</v>
      </c>
      <c r="E11" s="18">
        <f>-E6*Assumptions!B10</f>
        <v>-384384951.92719376</v>
      </c>
      <c r="F11" s="18">
        <f>-F6*Assumptions!B10</f>
        <v>-399567272.55762804</v>
      </c>
    </row>
    <row r="12" spans="1:6" x14ac:dyDescent="0.25">
      <c r="A12" t="s">
        <v>48</v>
      </c>
      <c r="B12" s="18">
        <f>-(B6-Assumptions!B29)*Assumptions!B11</f>
        <v>120382935.08558059</v>
      </c>
      <c r="C12" s="18">
        <f>-(C6-B6)*Assumptions!B11</f>
        <v>125137783.8634493</v>
      </c>
      <c r="D12" s="18">
        <f>-(D6-C6)*Assumptions!B11</f>
        <v>130080438.22094019</v>
      </c>
      <c r="E12" s="18">
        <f>-(E6-D6)*Assumptions!B11</f>
        <v>135218316.04606295</v>
      </c>
      <c r="F12" s="18">
        <f>-(F6-E6)*Assumptions!B11</f>
        <v>140559128.21632585</v>
      </c>
    </row>
    <row r="13" spans="1:6" x14ac:dyDescent="0.25">
      <c r="A13" s="19" t="s">
        <v>49</v>
      </c>
      <c r="B13" s="20">
        <f>B9+B10+B11+B12</f>
        <v>1546528837.913585</v>
      </c>
      <c r="C13" s="20">
        <f>C9+C10+C11+C12</f>
        <v>1607613166.4329398</v>
      </c>
      <c r="D13" s="20">
        <f>D9+D10+D11+D12</f>
        <v>1671110185.2941658</v>
      </c>
      <c r="E13" s="20">
        <f>E9+E10+E11+E12</f>
        <v>1737115190.2110233</v>
      </c>
      <c r="F13" s="20">
        <f>F9+F10+F11+F12</f>
        <v>1805727240.8585644</v>
      </c>
    </row>
    <row r="14" spans="1:6" x14ac:dyDescent="0.25">
      <c r="A14" t="s">
        <v>50</v>
      </c>
      <c r="B14" s="21">
        <f>1/(1+Assumptions!$B$26)^(1-0.5*Assumptions!$B$32)</f>
        <v>0.9702731130859139</v>
      </c>
      <c r="C14" s="21">
        <f>1/(1+Assumptions!$B$26)^(2-0.5*Assumptions!$B$32)</f>
        <v>0.9134441333870856</v>
      </c>
      <c r="D14" s="21">
        <f>1/(1+Assumptions!$B$26)^(3-0.5*Assumptions!$B$32)</f>
        <v>0.8599436319177928</v>
      </c>
      <c r="E14" s="21">
        <f>1/(1+Assumptions!$B$26)^(4-0.5*Assumptions!$B$32)</f>
        <v>0.809576659421807</v>
      </c>
      <c r="F14" s="21">
        <f>1/(1+Assumptions!$B$26)^(5-0.5*Assumptions!$B$32)</f>
        <v>0.7621596848376074</v>
      </c>
    </row>
    <row r="15" spans="1:6" x14ac:dyDescent="0.25">
      <c r="A15" s="19" t="s">
        <v>51</v>
      </c>
      <c r="B15" s="20">
        <f>B13*B14</f>
        <v>1500555350.0395548</v>
      </c>
      <c r="C15" s="20">
        <f>C13*C14</f>
        <v>1468464815.6340053</v>
      </c>
      <c r="D15" s="20">
        <f>D13*D14</f>
        <v>1437060562.0766807</v>
      </c>
      <c r="E15" s="20">
        <f>E13*E14</f>
        <v>1406327912.7219172</v>
      </c>
      <c r="F15" s="20">
        <f>F13*F14</f>
        <v>1376252504.795446</v>
      </c>
    </row>
    <row r="17" spans="1:2" x14ac:dyDescent="0.25">
      <c r="A17" s="22" t="s">
        <v>52</v>
      </c>
      <c r="B17" s="23">
        <f>SUM(B15:F15)</f>
        <v>7188661145.267603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1805727240.8585644</v>
      </c>
    </row>
    <row r="5" spans="1:2" x14ac:dyDescent="0.25">
      <c r="A5" t="s">
        <v>56</v>
      </c>
      <c r="B5" s="18">
        <f>IF(Assumptions!$B$33=0,B4,B4-Forecast!F11-Forecast!F10-Forecast!F12)</f>
        <v>1853169930.4502316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0.11475937673480967</v>
      </c>
    </row>
    <row r="7" spans="1:2" x14ac:dyDescent="0.25">
      <c r="A7" t="s">
        <v>58</v>
      </c>
      <c r="B7" s="18">
        <f>-MAX(Forecast!F9,0)*B6</f>
        <v>-212668626.20215917</v>
      </c>
    </row>
    <row r="8" spans="1:2" x14ac:dyDescent="0.25">
      <c r="A8" t="s">
        <v>59</v>
      </c>
      <c r="B8" s="18">
        <f>IF(OR(Assumptions!$B$33=0,Assumptions!B12&lt;=0),B5,MAX(B5+B7,0))</f>
        <v>1640501304.2480724</v>
      </c>
    </row>
    <row r="9" spans="1:2" x14ac:dyDescent="0.25">
      <c r="A9" t="s">
        <v>60</v>
      </c>
      <c r="B9" s="18">
        <f>B8*(1+Assumptions!B12)/(Assumptions!B26-Assumptions!B12)</f>
        <v>45185024445.40364</v>
      </c>
    </row>
    <row r="10" spans="1:2" x14ac:dyDescent="0.25">
      <c r="A10" t="s">
        <v>61</v>
      </c>
      <c r="B10" s="18">
        <f>B9/(1+Assumptions!B26)^(5-0.5*Assumptions!B32)</f>
        <v>34438203990.68842</v>
      </c>
    </row>
    <row r="11" spans="1:2" x14ac:dyDescent="0.25">
      <c r="A11" t="s">
        <v>62</v>
      </c>
      <c r="B11" s="18">
        <f>Forecast!B17+B10</f>
        <v>41626865135.956024</v>
      </c>
    </row>
    <row r="12" spans="1:2" x14ac:dyDescent="0.25">
      <c r="A12" t="s">
        <v>63</v>
      </c>
      <c r="B12" s="18">
        <f>-Assumptions!B30</f>
        <v>-4001000000</v>
      </c>
    </row>
    <row r="13" spans="1:2" x14ac:dyDescent="0.25">
      <c r="A13" t="s">
        <v>64</v>
      </c>
      <c r="B13" s="18">
        <f>B11+B12</f>
        <v>37625865135.956024</v>
      </c>
    </row>
    <row r="14" spans="1:2" x14ac:dyDescent="0.25">
      <c r="A14" s="19" t="s">
        <v>65</v>
      </c>
      <c r="B14" s="24">
        <f>B13/Assumptions!B31</f>
        <v>162.32038453820545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2464773628.094395</v>
      </c>
    </row>
    <row r="18" spans="1:2" x14ac:dyDescent="0.25">
      <c r="A18" t="s">
        <v>60</v>
      </c>
      <c r="B18" s="18">
        <f>B17*Assumptions!B13</f>
        <v>21977903685.42289</v>
      </c>
    </row>
    <row r="19" spans="1:2" x14ac:dyDescent="0.25">
      <c r="A19" t="s">
        <v>61</v>
      </c>
      <c r="B19" s="18">
        <f>B18/(1+Assumptions!B26)^(5-0.5*Assumptions!B32)</f>
        <v>16750672146.273201</v>
      </c>
    </row>
    <row r="20" spans="1:2" x14ac:dyDescent="0.25">
      <c r="A20" t="s">
        <v>62</v>
      </c>
      <c r="B20" s="18">
        <f>Forecast!B17+B19</f>
        <v>23939333291.540802</v>
      </c>
    </row>
    <row r="21" spans="1:2" x14ac:dyDescent="0.25">
      <c r="A21" t="s">
        <v>63</v>
      </c>
      <c r="B21" s="18">
        <f>-Assumptions!B30</f>
        <v>-4001000000</v>
      </c>
    </row>
    <row r="22" spans="1:2" x14ac:dyDescent="0.25">
      <c r="A22" t="s">
        <v>64</v>
      </c>
      <c r="B22" s="18">
        <f>B20+B21</f>
        <v>19938333291.540802</v>
      </c>
    </row>
    <row r="23" spans="1:2" x14ac:dyDescent="0.25">
      <c r="A23" s="19" t="s">
        <v>65</v>
      </c>
      <c r="B23" s="25">
        <f>B22/Assumptions!B31</f>
        <v>86.01524284530113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68.16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162.32038453820545</v>
      </c>
    </row>
    <row r="29" spans="1:2" x14ac:dyDescent="0.25">
      <c r="A29" s="19" t="s">
        <v>73</v>
      </c>
      <c r="B29" s="12">
        <f>B28/B26-1</f>
        <v>1.3814610407600565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0.042214</v>
      </c>
      <c r="B5" s="31">
        <v>245.75432152075606</v>
      </c>
      <c r="C5" s="31">
        <v>292.0339689608902</v>
      </c>
      <c r="D5" s="31">
        <v>365.1100073900448</v>
      </c>
      <c r="E5" s="31">
        <v>497.8910551834699</v>
      </c>
      <c r="F5" s="31">
        <v>814.5211573181634</v>
      </c>
    </row>
    <row r="6" spans="1:6" x14ac:dyDescent="0.25">
      <c r="A6" s="30">
        <v>0.052214</v>
      </c>
      <c r="B6" s="31">
        <v>175.96054300902074</v>
      </c>
      <c r="C6" s="31">
        <v>197.32190865276922</v>
      </c>
      <c r="D6" s="31">
        <v>226.4790534063775</v>
      </c>
      <c r="E6" s="31">
        <v>268.6960758854887</v>
      </c>
      <c r="F6" s="31">
        <v>335.3531414138245</v>
      </c>
    </row>
    <row r="7" spans="1:6" x14ac:dyDescent="0.25">
      <c r="A7" s="30">
        <v>0.062214</v>
      </c>
      <c r="B7" s="31">
        <v>135.723726986746</v>
      </c>
      <c r="C7" s="31">
        <v>147.46343534720555</v>
      </c>
      <c r="D7" s="32">
        <v>162.32021181588075</v>
      </c>
      <c r="E7" s="31">
        <v>181.7454757018681</v>
      </c>
      <c r="F7" s="31">
        <v>208.2573173726137</v>
      </c>
    </row>
    <row r="8" spans="1:6" x14ac:dyDescent="0.25">
      <c r="A8" s="30">
        <v>0.072214</v>
      </c>
      <c r="B8" s="31">
        <v>109.54613402897981</v>
      </c>
      <c r="C8" s="31">
        <v>116.68839831381284</v>
      </c>
      <c r="D8" s="31">
        <v>125.31500782897805</v>
      </c>
      <c r="E8" s="31">
        <v>135.95339845960797</v>
      </c>
      <c r="F8" s="31">
        <v>149.4144670921424</v>
      </c>
    </row>
    <row r="9" spans="1:6" x14ac:dyDescent="0.25">
      <c r="A9" s="30">
        <v>0.082214</v>
      </c>
      <c r="B9" s="31">
        <v>91.15292447345462</v>
      </c>
      <c r="C9" s="31">
        <v>95.79531090647512</v>
      </c>
      <c r="D9" s="31">
        <v>101.22662930698802</v>
      </c>
      <c r="E9" s="31">
        <v>107.67352347765902</v>
      </c>
      <c r="F9" s="31">
        <v>115.4586442540956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6125000000</v>
      </c>
      <c r="C5" s="18">
        <v>5916000000</v>
      </c>
      <c r="D5" s="18">
        <v>5584000000</v>
      </c>
      <c r="E5" s="18">
        <v>5453000000</v>
      </c>
      <c r="F5" s="8" t="s">
        <v>84</v>
      </c>
    </row>
    <row r="6" spans="1:6" x14ac:dyDescent="0.25">
      <c r="A6" t="s">
        <v>44</v>
      </c>
      <c r="B6" s="18">
        <v>1687000000</v>
      </c>
      <c r="C6" s="18">
        <v>1600000000</v>
      </c>
      <c r="D6" s="18">
        <v>1330000000</v>
      </c>
      <c r="E6" s="18">
        <v>1264000000</v>
      </c>
      <c r="F6" s="8" t="s">
        <v>85</v>
      </c>
    </row>
    <row r="7" spans="1:6" x14ac:dyDescent="0.25">
      <c r="A7" t="s">
        <v>86</v>
      </c>
      <c r="B7" s="18">
        <v>463000000</v>
      </c>
      <c r="C7" s="18">
        <v>454000000</v>
      </c>
      <c r="D7" s="18">
        <v>440000000</v>
      </c>
      <c r="E7" s="18">
        <v>432000000</v>
      </c>
      <c r="F7" s="8" t="s">
        <v>87</v>
      </c>
    </row>
    <row r="8" spans="1:6" x14ac:dyDescent="0.25">
      <c r="A8" t="s">
        <v>88</v>
      </c>
      <c r="B8" s="18">
        <v>305000000</v>
      </c>
      <c r="C8" s="18">
        <v>314000000</v>
      </c>
      <c r="D8" s="18">
        <v>324000000</v>
      </c>
      <c r="E8" s="18">
        <v>295000000</v>
      </c>
      <c r="F8" s="8" t="s">
        <v>89</v>
      </c>
    </row>
    <row r="9" spans="1:6" x14ac:dyDescent="0.25">
      <c r="A9" t="s">
        <v>90</v>
      </c>
      <c r="B9" s="18">
        <v>-104000000</v>
      </c>
      <c r="C9" s="18">
        <v>-82000000</v>
      </c>
      <c r="D9" s="18">
        <v>-98000000</v>
      </c>
      <c r="E9" s="18">
        <v>-178000000</v>
      </c>
      <c r="F9" s="8" t="s">
        <v>91</v>
      </c>
    </row>
    <row r="10" spans="1:6" x14ac:dyDescent="0.25">
      <c r="A10" t="s">
        <v>92</v>
      </c>
      <c r="B10" s="18">
        <v>4933000000</v>
      </c>
      <c r="C10" s="18">
        <v>4068000000</v>
      </c>
      <c r="D10" s="18">
        <v>3739000000</v>
      </c>
      <c r="E10" s="18">
        <v>3615000000</v>
      </c>
      <c r="F10" s="8" t="s">
        <v>93</v>
      </c>
    </row>
    <row r="11" spans="1:6" x14ac:dyDescent="0.25">
      <c r="A11" t="s">
        <v>94</v>
      </c>
      <c r="B11" s="18">
        <v>932000000</v>
      </c>
      <c r="C11" s="18">
        <v>954000000</v>
      </c>
      <c r="D11" s="18">
        <v>1135000000</v>
      </c>
      <c r="E11" s="18">
        <v>1346000000</v>
      </c>
      <c r="F11" s="8" t="s">
        <v>95</v>
      </c>
    </row>
    <row r="12" spans="1:6" x14ac:dyDescent="0.25">
      <c r="A12" t="s">
        <v>32</v>
      </c>
      <c r="B12" s="34">
        <v>231800000</v>
      </c>
      <c r="C12" s="34">
        <v>238400000</v>
      </c>
      <c r="D12" s="34">
        <v>246000000</v>
      </c>
      <c r="E12" s="34">
        <v>255800000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