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<sst xmlns="http://schemas.openxmlformats.org/spreadsheetml/2006/main" count="112" uniqueCount="100">
  <si>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Waste Management, Inc. (WM)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</si>
  <si>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</si>
  <si>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</si>
  <si>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</si>
  <si>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</si>
  <si>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</si>
  <si>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</si>
  <si>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</si>
  <si>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</si>
  <si>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</si>
  <si>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</si>
  <si>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</si>
  <si>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</si>
  <si>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</si>
  <si>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</si>
  <si>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</si>
  <si>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</si>
  <si>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</si>
  <si>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</si>
  <si>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</si>
  <si>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</si>
  <si>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</si>
  <si>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</si>
  <si>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</si>
  <si>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</si>
  <si>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</si>
  <si>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</si>
  <si>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</si>
  <si>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</si>
  <si>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</si>
  <si>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</si>
  <si>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</si>
  <si>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</si>
  <si>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</si>
  <si>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</si>
  <si>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</si>
  <si>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</si>
  <si>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</si>
  <si>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</si>
  <si>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</si>
  <si>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</si>
  <si>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</si>
  <si>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</si>
  <si>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</si>
  <si>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</si>
  <si>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</si>
  <si>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</si>
  <si>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</si>
  <si>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</si>
  <si>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</si>
  <si>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</si>
  <si>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</si>
  <si>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</si>
  <si>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</si>
  <si>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</si>
  <si>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</si>
  <si>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</si>
  <si>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</si>
  <si>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</si>
  <si>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</si>
  <si>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</si>
  <si>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</si>
  <si>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</si>
  <si>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</si>
  <si>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</si>
  <si>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</si>
  <si>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</si>
  <si>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</si>
  <si>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</si>
  <si>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</si>
  <si>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</si>
  <si>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</si>
  <si>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</si>
  <si>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</si>
  <si>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</si>
  <si>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</si>
  <si>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</si>
  <si>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</si>
  <si>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</si>
  <si>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</si>
  <si>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</si>
  <si>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</si>
  <si>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</si>
  <si>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</si>
  <si>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</si>
  <si>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</si>
  <si>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</si>
  <si>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</si>
  <si>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</si>
  <si>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</si>
  <si>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</si>
  <si>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</si>
  <si>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</si>
  <si>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</si>
  <si>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</si>
  <si>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</si>
  <si>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</si>
  <si>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</si>
  <si>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13.7% of revenue against depreciation of 6.9%.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</si>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</sst>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0.08563152473174229</v>
      </c>
    </row>
    <row r="7" spans="1:2" x14ac:dyDescent="0.25">
      <c r="A7" t="s">
        <v>5</v>
      </c>
      <c r="B7" s="6">
        <v>0.18300802023660123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0.06869584874180192</v>
      </c>
    </row>
    <row r="10" spans="1:2" x14ac:dyDescent="0.25">
      <c r="A10" t="s">
        <v>8</v>
      </c>
      <c r="B10" s="6">
        <v>0.136885940745605</v>
      </c>
    </row>
    <row r="11" spans="1:2" x14ac:dyDescent="0.25">
      <c r="A11" t="s">
        <v>9</v>
      </c>
      <c r="B11" s="6">
        <v>0.16332378223495703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16.294260099817407</v>
      </c>
    </row>
    <row r="14" spans="1:3" x14ac:dyDescent="0.25">
      <c r="A14" t="s">
        <v>12</v>
      </c>
      <c r="B14" s="6">
        <v>0.11733601230850624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0.61877</v>
      </c>
      <c r="C19" s="8" t="s">
        <v>19</v>
      </c>
    </row>
    <row r="20" spans="1:2" x14ac:dyDescent="0.25">
      <c r="A20" t="s">
        <v>20</v>
      </c>
      <c r="B20" s="10">
        <f>B17+B19*B18</f>
        <v>0.08401235000000001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84379877376</v>
      </c>
    </row>
    <row r="23" spans="1:2" x14ac:dyDescent="0.25">
      <c r="A23" t="s">
        <v>24</v>
      </c>
      <c r="B23" s="11">
        <v>22907000000</v>
      </c>
    </row>
    <row r="24" spans="1:2" x14ac:dyDescent="0.25">
      <c r="A24" t="s">
        <v>25</v>
      </c>
      <c r="B24" s="10">
        <f>B22/(B22+B23)</f>
        <v>0.7864883333334457</v>
      </c>
    </row>
    <row r="25" spans="1:2" x14ac:dyDescent="0.25">
      <c r="A25" t="s">
        <v>26</v>
      </c>
      <c r="B25" s="10">
        <f>1-B24</f>
        <v>0.2135116666665543</v>
      </c>
    </row>
    <row r="26" spans="1:2" x14ac:dyDescent="0.25">
      <c r="A26" t="s">
        <v>27</v>
      </c>
      <c r="B26" s="12">
        <f>B24*B20+B25*B21*(1-B8)</f>
        <v>0.07450507047992168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25204000000</v>
      </c>
      <c r="C29" s="8" t="s">
        <v>30</v>
      </c>
    </row>
    <row r="30" spans="1:2" x14ac:dyDescent="0.25">
      <c r="A30" t="s">
        <v>31</v>
      </c>
      <c r="B30" s="11">
        <v>22706000000</v>
      </c>
    </row>
    <row r="31" spans="1:2" x14ac:dyDescent="0.25">
      <c r="A31" t="s">
        <v>32</v>
      </c>
      <c r="B31" s="13">
        <v>404200000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0.08563152473174229</v>
      </c>
      <c r="C5" s="10">
        <f>Assumptions!B6</f>
        <v>0.08563152473174229</v>
      </c>
      <c r="D5" s="10">
        <f>Assumptions!B6</f>
        <v>0.08563152473174229</v>
      </c>
      <c r="E5" s="10">
        <f>Assumptions!B6</f>
        <v>0.08563152473174229</v>
      </c>
      <c r="F5" s="10">
        <f>Assumptions!B6</f>
        <v>0.08563152473174229</v>
      </c>
    </row>
    <row r="6" spans="1:6" x14ac:dyDescent="0.25">
      <c r="A6" t="s">
        <v>43</v>
      </c>
      <c r="B6" s="18">
        <f>Assumptions!B29*(1+B5)</f>
        <v>27362256949.338833</v>
      </c>
      <c r="C6" s="18">
        <f>B6*(1+C5)</f>
        <v>29705328732.01243</v>
      </c>
      <c r="D6" s="18">
        <f>C6*(1+D5)</f>
        <v>32249041323.992287</v>
      </c>
      <c r="E6" s="18">
        <f>D6*(1+E5)</f>
        <v>35010575903.70271</v>
      </c>
      <c r="F6" s="18">
        <f>E6*(1+F5)</f>
        <v>38008584900.07317</v>
      </c>
    </row>
    <row r="7" spans="1:6" x14ac:dyDescent="0.25">
      <c r="A7" t="s">
        <v>5</v>
      </c>
      <c r="B7" s="10">
        <f>Assumptions!B7</f>
        <v>0.18300802023660123</v>
      </c>
      <c r="C7" s="10">
        <f>Assumptions!B7</f>
        <v>0.18300802023660123</v>
      </c>
      <c r="D7" s="10">
        <f>Assumptions!B7</f>
        <v>0.18300802023660123</v>
      </c>
      <c r="E7" s="10">
        <f>Assumptions!B7</f>
        <v>0.18300802023660123</v>
      </c>
      <c r="F7" s="10">
        <f>Assumptions!B7</f>
        <v>0.18300802023660123</v>
      </c>
    </row>
    <row r="8" spans="1:6" x14ac:dyDescent="0.25">
      <c r="A8" t="s">
        <v>44</v>
      </c>
      <c r="B8" s="18">
        <f>B6*B7</f>
        <v>5007512473.503684</v>
      </c>
      <c r="C8" s="18">
        <f>C6*C7</f>
        <v>5436313401.723022</v>
      </c>
      <c r="D8" s="18">
        <f>D6*D7</f>
        <v>5901833207.23217</v>
      </c>
      <c r="E8" s="18">
        <f>E6*E7</f>
        <v>6407216183.47989</v>
      </c>
      <c r="F8" s="18">
        <f>F6*F7</f>
        <v>6955875874.557167</v>
      </c>
    </row>
    <row r="9" spans="1:6" x14ac:dyDescent="0.25">
      <c r="A9" t="s">
        <v>45</v>
      </c>
      <c r="B9" s="18">
        <f>B8*(1-Assumptions!B8)</f>
        <v>3955934854.0679107</v>
      </c>
      <c r="C9" s="18">
        <f>C8*(1-Assumptions!B8)</f>
        <v>4294687587.361188</v>
      </c>
      <c r="D9" s="18">
        <f>D8*(1-Assumptions!B8)</f>
        <v>4662448233.713414</v>
      </c>
      <c r="E9" s="18">
        <f>E8*(1-Assumptions!B8)</f>
        <v>5061700784.949113</v>
      </c>
      <c r="F9" s="18">
        <f>F8*(1-Assumptions!B8)</f>
        <v>5495141940.900162</v>
      </c>
    </row>
    <row r="10" spans="1:6" x14ac:dyDescent="0.25">
      <c r="A10" t="s">
        <v>46</v>
      </c>
      <c r="B10" s="18">
        <f>B6*Assumptions!B9</f>
        <v>1879673464.6260989</v>
      </c>
      <c r="C10" s="18">
        <f>C6*Assumptions!B9</f>
        <v>2040632769.3998282</v>
      </c>
      <c r="D10" s="18">
        <f>D6*Assumptions!B9</f>
        <v>2215375264.8610935</v>
      </c>
      <c r="E10" s="18">
        <f>E6*Assumptions!B9</f>
        <v>2405081226.6441364</v>
      </c>
      <c r="F10" s="18">
        <f>F6*Assumptions!B9</f>
        <v>2611031999.185363</v>
      </c>
    </row>
    <row r="11" spans="1:6" x14ac:dyDescent="0.25">
      <c r="A11" t="s">
        <v>47</v>
      </c>
      <c r="B11" s="18">
        <f>-B6*Assumptions!B10</f>
        <v>-3745508283.433214</v>
      </c>
      <c r="C11" s="18">
        <f>-C6*Assumptions!B10</f>
        <v>-4066241868.6389713</v>
      </c>
      <c r="D11" s="18">
        <f>-D6*Assumptions!B10</f>
        <v>-4414440359.778575</v>
      </c>
      <c r="E11" s="18">
        <f>-E6*Assumptions!B10</f>
        <v>-4792455618.623756</v>
      </c>
      <c r="F11" s="18">
        <f>-F6*Assumptions!B10</f>
        <v>-5202840900.455713</v>
      </c>
    </row>
    <row r="12" spans="1:6" x14ac:dyDescent="0.25">
      <c r="A12" t="s">
        <v>48</v>
      </c>
      <c r="B12" s="18">
        <f>-(B6-Assumptions!B29)*Assumptions!B11</f>
        <v>-352494688.00089824</v>
      </c>
      <c r="C12" s="18">
        <f>-(C6-B6)*Assumptions!B11</f>
        <v>-382679345.59425485</v>
      </c>
      <c r="D12" s="18">
        <f>-(D6-C6)*Assumptions!B11</f>
        <v>-415448761.4408365</v>
      </c>
      <c r="E12" s="18">
        <f>-(E6-D6)*Assumptions!B11</f>
        <v>-451024272.3309292</v>
      </c>
      <c r="F12" s="18">
        <f>-(F6-E6)*Assumptions!B11</f>
        <v>-489646168.46165115</v>
      </c>
    </row>
    <row r="13" spans="1:6" x14ac:dyDescent="0.25">
      <c r="A13" s="19" t="s">
        <v>49</v>
      </c>
      <c r="B13" s="20">
        <f>B9+B10+B11+B12</f>
        <v>1737605347.2598972</v>
      </c>
      <c r="C13" s="20">
        <f>C9+C10+C11+C12</f>
        <v>1886399142.5277896</v>
      </c>
      <c r="D13" s="20">
        <f>D9+D10+D11+D12</f>
        <v>2047934377.3550963</v>
      </c>
      <c r="E13" s="20">
        <f>E9+E10+E11+E12</f>
        <v>2223302120.6385636</v>
      </c>
      <c r="F13" s="20">
        <f>F9+F10+F11+F12</f>
        <v>2413686871.16816</v>
      </c>
    </row>
    <row r="14" spans="1:6" x14ac:dyDescent="0.25">
      <c r="A14" t="s">
        <v>50</v>
      </c>
      <c r="B14" s="21">
        <f>1/(1+Assumptions!$B$26)^(1-0.5*Assumptions!$B$32)</f>
        <v>0.9647077454152292</v>
      </c>
      <c r="C14" s="21">
        <f>1/(1+Assumptions!$B$26)^(2-0.5*Assumptions!$B$32)</f>
        <v>0.8978159079178175</v>
      </c>
      <c r="D14" s="21">
        <f>1/(1+Assumptions!$B$26)^(3-0.5*Assumptions!$B$32)</f>
        <v>0.835562281262026</v>
      </c>
      <c r="E14" s="21">
        <f>1/(1+Assumptions!$B$26)^(4-0.5*Assumptions!$B$32)</f>
        <v>0.7776252567043046</v>
      </c>
      <c r="F14" s="21">
        <f>1/(1+Assumptions!$B$26)^(5-0.5*Assumptions!$B$32)</f>
        <v>0.7237055255188164</v>
      </c>
    </row>
    <row r="15" spans="1:6" x14ac:dyDescent="0.25">
      <c r="A15" s="19" t="s">
        <v>51</v>
      </c>
      <c r="B15" s="20">
        <f>B13*B14</f>
        <v>1676281336.9765418</v>
      </c>
      <c r="C15" s="20">
        <f>C13*C14</f>
        <v>1693639158.8439798</v>
      </c>
      <c r="D15" s="20">
        <f>D13*D14</f>
        <v>1711176720.2177513</v>
      </c>
      <c r="E15" s="20">
        <f>E13*E14</f>
        <v>1728895882.2927878</v>
      </c>
      <c r="F15" s="20">
        <f>F13*F14</f>
        <v>1746798525.5366209</v>
      </c>
    </row>
    <row r="17" spans="1:2" x14ac:dyDescent="0.25">
      <c r="A17" s="22" t="s">
        <v>52</v>
      </c>
      <c r="B17" s="23">
        <f>SUM(B15:F15)</f>
        <v>8556791623.8676815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2413686871.16816</v>
      </c>
    </row>
    <row r="5" spans="1:2" x14ac:dyDescent="0.25">
      <c r="A5" t="s">
        <v>56</v>
      </c>
      <c r="B5" s="18">
        <f>IF(Assumptions!$B$33=0,B4,B4-Forecast!F11-Forecast!F10-Forecast!F12)</f>
        <v>5778343451.799327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0.2130633171192885</v>
      </c>
    </row>
    <row r="7" spans="1:2" x14ac:dyDescent="0.25">
      <c r="A7" t="s">
        <v>58</v>
      </c>
      <c r="B7" s="18">
        <f>-MAX(Forecast!F9,0)*B6</f>
        <v>-1231153023.2948842</v>
      </c>
    </row>
    <row r="8" spans="1:2" x14ac:dyDescent="0.25">
      <c r="A8" t="s">
        <v>59</v>
      </c>
      <c r="B8" s="18">
        <f>IF(OR(Assumptions!$B$33=0,Assumptions!B12&lt;=0),B5,MAX(B5+B7,0))</f>
        <v>4547190428.504442</v>
      </c>
    </row>
    <row r="9" spans="1:2" x14ac:dyDescent="0.25">
      <c r="A9" t="s">
        <v>60</v>
      </c>
      <c r="B9" s="18">
        <f>B8*(1+Assumptions!B12)/(Assumptions!B26-Assumptions!B12)</f>
        <v>94149349632.9313</v>
      </c>
    </row>
    <row r="10" spans="1:2" x14ac:dyDescent="0.25">
      <c r="A10" t="s">
        <v>61</v>
      </c>
      <c r="B10" s="18">
        <f>B9/(1+Assumptions!B26)^(5-0.5*Assumptions!B32)</f>
        <v>68136404553.35533</v>
      </c>
    </row>
    <row r="11" spans="1:2" x14ac:dyDescent="0.25">
      <c r="A11" t="s">
        <v>62</v>
      </c>
      <c r="B11" s="18">
        <f>Forecast!B17+B10</f>
        <v>76693196177.223</v>
      </c>
    </row>
    <row r="12" spans="1:2" x14ac:dyDescent="0.25">
      <c r="A12" t="s">
        <v>63</v>
      </c>
      <c r="B12" s="18">
        <f>-Assumptions!B30</f>
        <v>-22706000000</v>
      </c>
    </row>
    <row r="13" spans="1:2" x14ac:dyDescent="0.25">
      <c r="A13" t="s">
        <v>64</v>
      </c>
      <c r="B13" s="18">
        <f>B11+B12</f>
        <v>53987196177.22301</v>
      </c>
    </row>
    <row r="14" spans="1:2" x14ac:dyDescent="0.25">
      <c r="A14" s="19" t="s">
        <v>65</v>
      </c>
      <c r="B14" s="24">
        <f>B13/Assumptions!B31</f>
        <v>133.56555214552947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9566907873.74253</v>
      </c>
    </row>
    <row r="18" spans="1:2" x14ac:dyDescent="0.25">
      <c r="A18" t="s">
        <v>60</v>
      </c>
      <c r="B18" s="18">
        <f>B17*Assumptions!B13</f>
        <v>155885685245.75192</v>
      </c>
    </row>
    <row r="19" spans="1:2" x14ac:dyDescent="0.25">
      <c r="A19" t="s">
        <v>61</v>
      </c>
      <c r="B19" s="18">
        <f>B18/(1+Assumptions!B26)^(5-0.5*Assumptions!B32)</f>
        <v>112815331761.6377</v>
      </c>
    </row>
    <row r="20" spans="1:2" x14ac:dyDescent="0.25">
      <c r="A20" t="s">
        <v>62</v>
      </c>
      <c r="B20" s="18">
        <f>Forecast!B17+B19</f>
        <v>121372123385.50537</v>
      </c>
    </row>
    <row r="21" spans="1:2" x14ac:dyDescent="0.25">
      <c r="A21" t="s">
        <v>63</v>
      </c>
      <c r="B21" s="18">
        <f>-Assumptions!B30</f>
        <v>-22706000000</v>
      </c>
    </row>
    <row r="22" spans="1:2" x14ac:dyDescent="0.25">
      <c r="A22" t="s">
        <v>64</v>
      </c>
      <c r="B22" s="18">
        <f>B20+B21</f>
        <v>98666123385.50537</v>
      </c>
    </row>
    <row r="23" spans="1:2" x14ac:dyDescent="0.25">
      <c r="A23" s="19" t="s">
        <v>65</v>
      </c>
      <c r="B23" s="25">
        <f>B22/Assumptions!B31</f>
        <v>244.10223499630226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211.1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133.56555214552947</v>
      </c>
    </row>
    <row r="29" spans="1:2" x14ac:dyDescent="0.25">
      <c r="A29" s="19" t="s">
        <v>73</v>
      </c>
      <c r="B29" s="12">
        <f>B28/B26-1</f>
        <v>-0.367287768140552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0.054505</v>
      </c>
      <c r="B5" s="31">
        <v>218.3186278211322</v>
      </c>
      <c r="C5" s="31">
        <v>242.11768662359157</v>
      </c>
      <c r="D5" s="31">
        <v>273.8202518549779</v>
      </c>
      <c r="E5" s="31">
        <v>318.26421767705074</v>
      </c>
      <c r="F5" s="31">
        <v>385.2481490147158</v>
      </c>
    </row>
    <row r="6" spans="1:6" x14ac:dyDescent="0.25">
      <c r="A6" s="30">
        <v>0.064505</v>
      </c>
      <c r="B6" s="31">
        <v>158.4565003426966</v>
      </c>
      <c r="C6" s="31">
        <v>170.6533863752912</v>
      </c>
      <c r="D6" s="31">
        <v>185.82130727512478</v>
      </c>
      <c r="E6" s="31">
        <v>205.2518301486631</v>
      </c>
      <c r="F6" s="31">
        <v>231.1120124304275</v>
      </c>
    </row>
    <row r="7" spans="1:6" x14ac:dyDescent="0.25">
      <c r="A7" s="30">
        <v>0.074505</v>
      </c>
      <c r="B7" s="31">
        <v>118.90878177634204</v>
      </c>
      <c r="C7" s="31">
        <v>125.60547571245839</v>
      </c>
      <c r="D7" s="32">
        <v>133.56584539583832</v>
      </c>
      <c r="E7" s="31">
        <v>143.21580108845154</v>
      </c>
      <c r="F7" s="31">
        <v>155.19687652371135</v>
      </c>
    </row>
    <row r="8" spans="1:6" x14ac:dyDescent="0.25">
      <c r="A8" s="30">
        <v>0.084505</v>
      </c>
      <c r="B8" s="31">
        <v>90.89758022962124</v>
      </c>
      <c r="C8" s="31">
        <v>94.67867464746593</v>
      </c>
      <c r="D8" s="31">
        <v>99.02412962353006</v>
      </c>
      <c r="E8" s="31">
        <v>104.08925950279672</v>
      </c>
      <c r="F8" s="31">
        <v>110.0921255628747</v>
      </c>
    </row>
    <row r="9" spans="1:6" x14ac:dyDescent="0.25">
      <c r="A9" s="30">
        <v>0.094505</v>
      </c>
      <c r="B9" s="31">
        <v>70.06184299150341</v>
      </c>
      <c r="C9" s="31">
        <v>72.1793047736746</v>
      </c>
      <c r="D9" s="31">
        <v>74.54303731964406</v>
      </c>
      <c r="E9" s="31">
        <v>77.21030846069593</v>
      </c>
      <c r="F9" s="31">
        <v>80.25763410181679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25204000000</v>
      </c>
      <c r="C5" s="18">
        <v>22063000000</v>
      </c>
      <c r="D5" s="18">
        <v>20426000000</v>
      </c>
      <c r="E5" s="18">
        <v>19698000000</v>
      </c>
      <c r="F5" s="8" t="s">
        <v>84</v>
      </c>
    </row>
    <row r="6" spans="1:6" x14ac:dyDescent="0.25">
      <c r="A6" t="s">
        <v>44</v>
      </c>
      <c r="B6" s="18">
        <v>4607000000</v>
      </c>
      <c r="C6" s="18">
        <v>4149000000</v>
      </c>
      <c r="D6" s="18">
        <v>3823000000</v>
      </c>
      <c r="E6" s="18">
        <v>3428000000</v>
      </c>
      <c r="F6" s="8" t="s">
        <v>85</v>
      </c>
    </row>
    <row r="7" spans="1:6" x14ac:dyDescent="0.25">
      <c r="A7" t="s">
        <v>86</v>
      </c>
      <c r="B7" s="18">
        <v>1965000000</v>
      </c>
      <c r="C7" s="18">
        <v>1472000000</v>
      </c>
      <c r="D7" s="18">
        <v>1326000000</v>
      </c>
      <c r="E7" s="18">
        <v>1284000000</v>
      </c>
      <c r="F7" s="8" t="s">
        <v>87</v>
      </c>
    </row>
    <row r="8" spans="1:6" x14ac:dyDescent="0.25">
      <c r="A8" t="s">
        <v>88</v>
      </c>
      <c r="B8" s="18">
        <v>3227000000</v>
      </c>
      <c r="C8" s="18">
        <v>3231000000</v>
      </c>
      <c r="D8" s="18">
        <v>2895000000</v>
      </c>
      <c r="E8" s="18">
        <v>2587000000</v>
      </c>
      <c r="F8" s="8" t="s">
        <v>89</v>
      </c>
    </row>
    <row r="9" spans="1:6" x14ac:dyDescent="0.25">
      <c r="A9" t="s">
        <v>90</v>
      </c>
      <c r="B9" s="18">
        <v>513000000</v>
      </c>
      <c r="C9" s="18">
        <v>24000000</v>
      </c>
      <c r="D9" s="18">
        <v>251000000</v>
      </c>
      <c r="E9" s="18">
        <v>145000000</v>
      </c>
      <c r="F9" s="8" t="s">
        <v>91</v>
      </c>
    </row>
    <row r="10" spans="1:6" x14ac:dyDescent="0.25">
      <c r="A10" t="s">
        <v>92</v>
      </c>
      <c r="B10" s="18">
        <v>22907000000</v>
      </c>
      <c r="C10" s="18">
        <v>23900000000</v>
      </c>
      <c r="D10" s="18">
        <v>16229000000</v>
      </c>
      <c r="E10" s="18">
        <v>14984000000</v>
      </c>
      <c r="F10" s="8" t="s">
        <v>93</v>
      </c>
    </row>
    <row r="11" spans="1:6" x14ac:dyDescent="0.25">
      <c r="A11" t="s">
        <v>94</v>
      </c>
      <c r="B11" s="18">
        <v>201000000</v>
      </c>
      <c r="C11" s="18">
        <v>414000000</v>
      </c>
      <c r="D11" s="18">
        <v>458000000</v>
      </c>
      <c r="E11" s="18">
        <v>351000000</v>
      </c>
      <c r="F11" s="8" t="s">
        <v>95</v>
      </c>
    </row>
    <row r="12" spans="1:6" x14ac:dyDescent="0.25">
      <c r="A12" t="s">
        <v>32</v>
      </c>
      <c r="B12" s="34">
        <v>404200000</v>
      </c>
      <c r="C12" s="34">
        <v>403400000</v>
      </c>
      <c r="D12" s="34">
        <v>406900000</v>
      </c>
      <c r="E12" s="34">
        <v>415000000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