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<sst xmlns="http://schemas.openxmlformats.org/spreadsheetml/2006/main" count="120" uniqueCount="107">
  <si>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Waste Management, Inc. (WM)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</si>
  <si>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</si>
  <si>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</si>
  <si>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</si>
  <si>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</si>
  <si>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</si>
  <si>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</si>
  <si>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</si>
  <si>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</si>
  <si>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</si>
  <si>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</si>
  <si>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</si>
  <si>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</si>
  <si>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</si>
  <si>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</si>
  <si>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</si>
  <si>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</si>
  <si>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</si>
  <si>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</si>
  <si>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</si>
  <si>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</si>
  <si>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</si>
  <si>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</si>
  <si>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</si>
  <si>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5.1x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</si>
  <si>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</si>
  <si>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</si>
  <si>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</si>
  <si>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</si>
  <si>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</si>
  <si>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</si>
  <si>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</si>
  <si>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</si>
  <si>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</si>
  <si>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</si>
  <si>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</si>
  <si>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</si>
  <si>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</si>
  <si>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</si>
  <si>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</si>
  <si>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</si>
  <si>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</si>
  <si>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</si>
  <si>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</si>
  <si>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</si>
  <si>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</si>
  <si>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</si>
  <si>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</si>
  <si>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</si>
  <si>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</si>
  <si>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</si>
  <si>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</si>
  <si>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</si>
  <si>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</si>
  <si>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</si>
  <si>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</si>
  <si>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</si>
  <si>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</si>
  <si>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</si>
  <si>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</si>
  <si>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</si>
  <si>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</si>
  <si>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</si>
  <si>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</si>
  <si>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</si>
  <si>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</si>
  <si>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</si>
  <si>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</si>
  <si>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</si>
  <si>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</si>
  <si>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</si>
  <si>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</si>
  <si>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</si>
  <si>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</si>
  <si>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</si>
  <si>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</si>
  <si>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</si>
  <si>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</si>
  <si>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</si>
  <si>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</si>
  <si>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</si>
  <si>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</si>
  <si>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</si>
  <si>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</si>
  <si>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</si>
  <si>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</si>
  <si>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</si>
  <si>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</si>
  <si>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</si>
  <si>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</si>
  <si>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</si>
  <si>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</si>
  <si>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</si>
  <si>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</si>
  <si>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</si>
  <si>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</si>
  <si>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</si>
  <si>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</si>
  <si>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</si>
  <si>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</si>
  <si>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</si>
  <si>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</si>
  <si>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</si>
  <si>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</si>
  <si>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</si>
  <si>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13.7% of revenue against depreciation of 6.9%.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</si>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</sst>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0.049971079193778856</v>
      </c>
    </row>
    <row r="7" spans="1:2" x14ac:dyDescent="0.25">
      <c r="A7" t="s">
        <v>4</v>
      </c>
      <c r="B7" s="5">
        <v>0.18300802023660123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0.06869584874180192</v>
      </c>
    </row>
    <row r="10" spans="1:3" x14ac:dyDescent="0.25">
      <c r="A10" t="s">
        <v>7</v>
      </c>
      <c r="B10" s="5">
        <v>0.136885940745605</v>
      </c>
      <c r="C10" s="6" t="s">
        <v>8</v>
      </c>
    </row>
    <row r="11" spans="1:2" x14ac:dyDescent="0.25">
      <c r="A11" t="s">
        <v>9</v>
      </c>
      <c r="B11" s="5">
        <v>0.05930555277382578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17.57971229214851</v>
      </c>
    </row>
    <row r="14" spans="1:3" x14ac:dyDescent="0.25">
      <c r="A14" t="s">
        <v>12</v>
      </c>
      <c r="B14" s="5">
        <v>0.11733601230850624</v>
      </c>
      <c r="C14" s="6" t="s">
        <v>13</v>
      </c>
    </row>
    <row r="15" spans="1:3" x14ac:dyDescent="0.25">
      <c r="A15" t="s">
        <v>14</v>
      </c>
      <c r="B15" s="5">
        <v>0.05926421833169091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0.6181</v>
      </c>
      <c r="C19" s="6" t="s">
        <v>21</v>
      </c>
    </row>
    <row r="20" spans="1:2" x14ac:dyDescent="0.25">
      <c r="A20" t="s">
        <v>22</v>
      </c>
      <c r="B20" s="9">
        <f>B17+B19*B18</f>
        <v>0.07508563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92827869184</v>
      </c>
    </row>
    <row r="23" spans="1:2" x14ac:dyDescent="0.25">
      <c r="A23" t="s">
        <v>26</v>
      </c>
      <c r="B23" s="10">
        <v>22907000000</v>
      </c>
    </row>
    <row r="24" spans="1:2" x14ac:dyDescent="0.25">
      <c r="A24" t="s">
        <v>27</v>
      </c>
      <c r="B24" s="9">
        <f>B22/(B22+B23)</f>
        <v>0.8020734791380676</v>
      </c>
    </row>
    <row r="25" spans="1:2" x14ac:dyDescent="0.25">
      <c r="A25" t="s">
        <v>28</v>
      </c>
      <c r="B25" s="9">
        <f>1-B24</f>
        <v>0.1979265208619324</v>
      </c>
    </row>
    <row r="26" spans="1:2" x14ac:dyDescent="0.25">
      <c r="A26" t="s">
        <v>29</v>
      </c>
      <c r="B26" s="11">
        <f>B24*B20+B25*B21*(1-B8)</f>
        <v>0.06909616961440145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25204000000</v>
      </c>
      <c r="C29" s="6" t="s">
        <v>32</v>
      </c>
    </row>
    <row r="30" spans="1:2" x14ac:dyDescent="0.25">
      <c r="A30" t="s">
        <v>33</v>
      </c>
      <c r="B30" s="10">
        <v>22706000000</v>
      </c>
    </row>
    <row r="31" spans="1:2" x14ac:dyDescent="0.25">
      <c r="A31" t="s">
        <v>34</v>
      </c>
      <c r="B31" s="12">
        <v>404200000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0.049971079193778856</v>
      </c>
      <c r="C5" s="5">
        <v>0.05312631044317251</v>
      </c>
      <c r="D5" s="5">
        <v>0.04961052163777595</v>
      </c>
      <c r="E5" s="5">
        <v>0.04609473283237938</v>
      </c>
      <c r="F5" s="5">
        <v>0.04257894402698282</v>
      </c>
      <c r="G5" s="5">
        <v>0.03906315522158625</v>
      </c>
      <c r="H5" s="5">
        <v>0.03554736641618969</v>
      </c>
      <c r="I5" s="5">
        <v>0.03203157761079313</v>
      </c>
      <c r="J5" s="5">
        <v>0.028515788805396566</v>
      </c>
      <c r="K5" s="5">
        <v>0.025</v>
      </c>
    </row>
    <row r="6" spans="1:11" x14ac:dyDescent="0.25">
      <c r="A6" t="s">
        <v>50</v>
      </c>
      <c r="B6" s="18">
        <f>Assumptions!B29*(1+B5)</f>
        <v>26463471080.000004</v>
      </c>
      <c r="C6" s="18">
        <f>B6*(1+C5)</f>
        <v>27869377660</v>
      </c>
      <c r="D6" s="18">
        <f>C6*(1+D5)</f>
        <v>29251992023.43278</v>
      </c>
      <c r="E6" s="18">
        <f>D6*(1+E5)</f>
        <v>30600354780.567806</v>
      </c>
      <c r="F6" s="18">
        <f>E6*(1+F5)</f>
        <v>31903285573.975418</v>
      </c>
      <c r="G6" s="18">
        <f>F6*(1+G5)</f>
        <v>33149528570.430214</v>
      </c>
      <c r="H6" s="18">
        <f>G6*(1+H5)</f>
        <v>34327907009.04724</v>
      </c>
      <c r="I6" s="18">
        <f>H6*(1+I5)</f>
        <v>35427484026.62363</v>
      </c>
      <c r="J6" s="18">
        <f>I6*(1+J5)</f>
        <v>36437726679.03339</v>
      </c>
      <c r="K6" s="18">
        <f>J6*(1+K5)</f>
        <v>37348669846.00922</v>
      </c>
    </row>
    <row r="7" spans="1:11" x14ac:dyDescent="0.25">
      <c r="A7" t="s">
        <v>4</v>
      </c>
      <c r="B7" s="9">
        <f>Assumptions!B7</f>
        <v>0.18300802023660123</v>
      </c>
      <c r="C7" s="9">
        <f>Assumptions!B7</f>
        <v>0.18300802023660123</v>
      </c>
      <c r="D7" s="9">
        <f>Assumptions!B7</f>
        <v>0.18300802023660123</v>
      </c>
      <c r="E7" s="9">
        <f>Assumptions!B7</f>
        <v>0.18300802023660123</v>
      </c>
      <c r="F7" s="9">
        <f>Assumptions!B7</f>
        <v>0.18300802023660123</v>
      </c>
      <c r="G7" s="9">
        <f>Assumptions!B7</f>
        <v>0.18300802023660123</v>
      </c>
      <c r="H7" s="9">
        <f>Assumptions!B7</f>
        <v>0.18300802023660123</v>
      </c>
      <c r="I7" s="9">
        <f>Assumptions!B7</f>
        <v>0.18300802023660123</v>
      </c>
      <c r="J7" s="9">
        <f>Assumptions!B7</f>
        <v>0.18300802023660123</v>
      </c>
      <c r="K7" s="9">
        <f>Assumptions!B7</f>
        <v>0.18300802023660123</v>
      </c>
    </row>
    <row r="8" spans="1:11" x14ac:dyDescent="0.25">
      <c r="A8" t="s">
        <v>51</v>
      </c>
      <c r="B8" s="18">
        <f>B6*B7</f>
        <v>4843027450.939352</v>
      </c>
      <c r="C8" s="18">
        <f>C6*C7</f>
        <v>5100319630.782763</v>
      </c>
      <c r="D8" s="18">
        <f>D6*D7</f>
        <v>5353349148.185285</v>
      </c>
      <c r="E8" s="18">
        <f>E6*E7</f>
        <v>5600110346.92933</v>
      </c>
      <c r="F8" s="18">
        <f>F6*F7</f>
        <v>5838557131.936161</v>
      </c>
      <c r="G8" s="18">
        <f>G6*G7</f>
        <v>6066629595.451083</v>
      </c>
      <c r="H8" s="18">
        <f>H6*H7</f>
        <v>6282282300.591883</v>
      </c>
      <c r="I8" s="18">
        <f>I6*I7</f>
        <v>6483513713.676204</v>
      </c>
      <c r="J8" s="18">
        <f>J6*J7</f>
        <v>6668396221.452287</v>
      </c>
      <c r="K8" s="18">
        <f>K6*K7</f>
        <v>6835106126.988593</v>
      </c>
    </row>
    <row r="9" spans="1:11" x14ac:dyDescent="0.25">
      <c r="A9" t="s">
        <v>52</v>
      </c>
      <c r="B9" s="18">
        <f>B8*(1-Assumptions!B8)</f>
        <v>3825991686.2420883</v>
      </c>
      <c r="C9" s="18">
        <f>C8*(1-Assumptions!B8)</f>
        <v>4029252508.3183827</v>
      </c>
      <c r="D9" s="18">
        <f>D8*(1-Assumptions!B8)</f>
        <v>4229145827.0663753</v>
      </c>
      <c r="E9" s="18">
        <f>E8*(1-Assumptions!B8)</f>
        <v>4424087174.074171</v>
      </c>
      <c r="F9" s="18">
        <f>F8*(1-Assumptions!B8)</f>
        <v>4612460134.229568</v>
      </c>
      <c r="G9" s="18">
        <f>G8*(1-Assumptions!B8)</f>
        <v>4792637380.406356</v>
      </c>
      <c r="H9" s="18">
        <f>H8*(1-Assumptions!B8)</f>
        <v>4963003017.467587</v>
      </c>
      <c r="I9" s="18">
        <f>I8*(1-Assumptions!B8)</f>
        <v>5121975833.804201</v>
      </c>
      <c r="J9" s="18">
        <f>J8*(1-Assumptions!B8)</f>
        <v>5268033014.947307</v>
      </c>
      <c r="K9" s="18">
        <f>K8*(1-Assumptions!B8)</f>
        <v>5399733840.320989</v>
      </c>
    </row>
    <row r="10" spans="1:11" x14ac:dyDescent="0.25">
      <c r="A10" t="s">
        <v>53</v>
      </c>
      <c r="B10" s="18">
        <f>B6*Assumptions!B9</f>
        <v>1817930606.4947295</v>
      </c>
      <c r="C10" s="18">
        <f>C6*Assumptions!B9</f>
        <v>1914510552.2595134</v>
      </c>
      <c r="D10" s="18">
        <f>D6*Assumptions!B9</f>
        <v>2009490419.4381344</v>
      </c>
      <c r="E10" s="18">
        <f>E6*Assumptions!B9</f>
        <v>2102117343.4513612</v>
      </c>
      <c r="F10" s="18">
        <f>F6*Assumptions!B9</f>
        <v>2191623280.1563263</v>
      </c>
      <c r="G10" s="18">
        <f>G6*Assumptions!B9</f>
        <v>2277235000.536315</v>
      </c>
      <c r="H10" s="18">
        <f>H6*Assumptions!B9</f>
        <v>2358184707.516151</v>
      </c>
      <c r="I10" s="18">
        <f>I6*Assumptions!B9</f>
        <v>2433721083.99554</v>
      </c>
      <c r="J10" s="18">
        <f>J6*Assumptions!B9</f>
        <v>2503120560.437998</v>
      </c>
      <c r="K10" s="18">
        <f>K6*Assumptions!B9</f>
        <v>2565698574.4489474</v>
      </c>
    </row>
    <row r="11" spans="1:11" x14ac:dyDescent="0.25">
      <c r="A11" t="s">
        <v>54</v>
      </c>
      <c r="B11" s="18">
        <f>-B6*B19</f>
        <v>-3622477134.179912</v>
      </c>
      <c r="C11" s="18">
        <f>-C6*C19</f>
        <v>-3674866017.1463494</v>
      </c>
      <c r="D11" s="18">
        <f>-D6*D19</f>
        <v>-3710169627.601302</v>
      </c>
      <c r="E11" s="18">
        <f>-E6*E19</f>
        <v>-3727404182.37894</v>
      </c>
      <c r="F11" s="18">
        <f>-F6*F19</f>
        <v>-3725780402.345422</v>
      </c>
      <c r="G11" s="18">
        <f>-G6*G19</f>
        <v>-3704725324.7455688</v>
      </c>
      <c r="H11" s="18">
        <f>-H6*H19</f>
        <v>-3663900695.0505476</v>
      </c>
      <c r="I11" s="18">
        <f>-I6*I19</f>
        <v>-3603217337.0703025</v>
      </c>
      <c r="J11" s="18">
        <f>-J6*J19</f>
        <v>-3522844982.6146326</v>
      </c>
      <c r="K11" s="18">
        <f>-K6*K19</f>
        <v>-3423217144.644</v>
      </c>
    </row>
    <row r="12" spans="1:11" x14ac:dyDescent="0.25">
      <c r="A12" t="s">
        <v>55</v>
      </c>
      <c r="B12" s="18">
        <f>-(B6-Assumptions!B29)*Assumptions!B11</f>
        <v>-74693628.60204758</v>
      </c>
      <c r="C12" s="18">
        <f>-(C6-B6)*Assumptions!B11</f>
        <v>-83378066.87525868</v>
      </c>
      <c r="D12" s="18">
        <f>-(D6-C6)*Assumptions!B11</f>
        <v>-81996709.09641235</v>
      </c>
      <c r="E12" s="18">
        <f>-(E6-D6)*Assumptions!B11</f>
        <v>-79965398.65153246</v>
      </c>
      <c r="F12" s="18">
        <f>-(F6-E6)*Assumptions!B11</f>
        <v>-77271030.92907782</v>
      </c>
      <c r="G12" s="18">
        <f>-(G6-F6)*Assumptions!B11</f>
        <v>-73909129.79526067</v>
      </c>
      <c r="H12" s="18">
        <f>-(H6-G6)*Assumptions!B11</f>
        <v>-69884384.67894053</v>
      </c>
      <c r="I12" s="18">
        <f>-(I6-H6)*Assumptions!B11</f>
        <v>-65211022.84476229</v>
      </c>
      <c r="J12" s="18">
        <f>-(J6-I6)*Assumptions!B11</f>
        <v>-59912998.936856724</v>
      </c>
      <c r="K12" s="18">
        <f>-(K6-J6)*Assumptions!B11</f>
        <v>-54023988.063041076</v>
      </c>
    </row>
    <row r="13" spans="1:11" x14ac:dyDescent="0.25">
      <c r="A13" s="19" t="s">
        <v>56</v>
      </c>
      <c r="B13" s="20">
        <f>B9+B10+B11+B12</f>
        <v>1946751529.9548585</v>
      </c>
      <c r="C13" s="20">
        <f>C9+C10+C11+C12</f>
        <v>2185518976.556288</v>
      </c>
      <c r="D13" s="20">
        <f>D9+D10+D11+D12</f>
        <v>2446469909.8067956</v>
      </c>
      <c r="E13" s="20">
        <f>E9+E10+E11+E12</f>
        <v>2718834936.495059</v>
      </c>
      <c r="F13" s="20">
        <f>F9+F10+F11+F12</f>
        <v>3001031981.1113944</v>
      </c>
      <c r="G13" s="20">
        <f>G9+G10+G11+G12</f>
        <v>3291237926.401841</v>
      </c>
      <c r="H13" s="20">
        <f>H9+H10+H11+H12</f>
        <v>3587402645.2542496</v>
      </c>
      <c r="I13" s="20">
        <f>I9+I10+I11+I12</f>
        <v>3887268557.884677</v>
      </c>
      <c r="J13" s="20">
        <f>J9+J10+J11+J12</f>
        <v>4188395593.833815</v>
      </c>
      <c r="K13" s="20">
        <f>K9+K10+K11+K12</f>
        <v>4488191282.062895</v>
      </c>
    </row>
    <row r="14" spans="1:11" x14ac:dyDescent="0.25">
      <c r="A14" t="s">
        <v>57</v>
      </c>
      <c r="B14" s="21">
        <f>1/(1+Assumptions!$B$26)^(1-0.5*Assumptions!$B$32)</f>
        <v>0.9671450496797507</v>
      </c>
      <c r="C14" s="21">
        <f>1/(1+Assumptions!$B$26)^(2-0.5*Assumptions!$B$32)</f>
        <v>0.9046380271183441</v>
      </c>
      <c r="D14" s="21">
        <f>1/(1+Assumptions!$B$26)^(3-0.5*Assumptions!$B$32)</f>
        <v>0.8461708617332586</v>
      </c>
      <c r="E14" s="21">
        <f>1/(1+Assumptions!$B$26)^(4-0.5*Assumptions!$B$32)</f>
        <v>0.7914824557256183</v>
      </c>
      <c r="F14" s="21">
        <f>1/(1+Assumptions!$B$26)^(5-0.5*Assumptions!$B$32)</f>
        <v>0.7403285861655344</v>
      </c>
      <c r="G14" s="21">
        <f>1/(1+Assumptions!$B$26)^(6-0.5*Assumptions!$B$32)</f>
        <v>0.6924808143616809</v>
      </c>
      <c r="H14" s="21">
        <f>1/(1+Assumptions!$B$26)^(7-0.5*Assumptions!$B$32)</f>
        <v>0.6477254657188071</v>
      </c>
      <c r="I14" s="21">
        <f>1/(1+Assumptions!$B$26)^(8-0.5*Assumptions!$B$32)</f>
        <v>0.6058626755275223</v>
      </c>
      <c r="J14" s="21">
        <f>1/(1+Assumptions!$B$26)^(9-0.5*Assumptions!$B$32)</f>
        <v>0.5667054964251187</v>
      </c>
      <c r="K14" s="21">
        <f>1/(1+Assumptions!$B$26)^(10-0.5*Assumptions!$B$32)</f>
        <v>0.5300790635416048</v>
      </c>
    </row>
    <row r="15" spans="1:11" x14ac:dyDescent="0.25">
      <c r="A15" s="19" t="s">
        <v>58</v>
      </c>
      <c r="B15" s="20">
        <f>B13*B14</f>
        <v>1882791105.1523223</v>
      </c>
      <c r="C15" s="20">
        <f>C13*C14</f>
        <v>1977103575.1815827</v>
      </c>
      <c r="D15" s="20">
        <f>D13*D14</f>
        <v>2070131551.7857037</v>
      </c>
      <c r="E15" s="20">
        <f>E13*E14</f>
        <v>2151910152.249715</v>
      </c>
      <c r="F15" s="20">
        <f>F13*F14</f>
        <v>2221749763.6137514</v>
      </c>
      <c r="G15" s="20">
        <f>G13*G14</f>
        <v>2279119119.532797</v>
      </c>
      <c r="H15" s="20">
        <f>H13*H14</f>
        <v>2323652049.1181893</v>
      </c>
      <c r="I15" s="20">
        <f>I13*I14</f>
        <v>2355150928.9740233</v>
      </c>
      <c r="J15" s="20">
        <f>J13*J14</f>
        <v>2373586804.228372</v>
      </c>
      <c r="K15" s="20">
        <f>K13*K14</f>
        <v>2379096231.791494</v>
      </c>
    </row>
    <row r="17" spans="1:2" x14ac:dyDescent="0.25">
      <c r="A17" s="22" t="s">
        <v>59</v>
      </c>
      <c r="B17" s="23">
        <f>SUM(B15:K15)</f>
        <v>22014291281.627945</v>
      </c>
    </row>
    <row r="19" spans="1:11" x14ac:dyDescent="0.25">
      <c r="A19" t="s">
        <v>7</v>
      </c>
      <c r="B19" s="9">
        <f>Assumptions!$B$10+($B$20-Assumptions!$B$10)*0/9</f>
        <v>0.136885940745605</v>
      </c>
      <c r="C19" s="9">
        <f>Assumptions!$B$10+($B$20-Assumptions!$B$10)*1/9</f>
        <v>0.13186035447145142</v>
      </c>
      <c r="D19" s="9">
        <f>Assumptions!$B$10+($B$20-Assumptions!$B$10)*2/9</f>
        <v>0.12683476819729783</v>
      </c>
      <c r="E19" s="9">
        <f>Assumptions!$B$10+($B$20-Assumptions!$B$10)*3/9</f>
        <v>0.12180918192314423</v>
      </c>
      <c r="F19" s="9">
        <f>Assumptions!$B$10+($B$20-Assumptions!$B$10)*4/9</f>
        <v>0.11678359564899064</v>
      </c>
      <c r="G19" s="9">
        <f>Assumptions!$B$10+($B$20-Assumptions!$B$10)*5/9</f>
        <v>0.11175800937483706</v>
      </c>
      <c r="H19" s="9">
        <f>Assumptions!$B$10+($B$20-Assumptions!$B$10)*6/9</f>
        <v>0.10673242310068347</v>
      </c>
      <c r="I19" s="9">
        <f>Assumptions!$B$10+($B$20-Assumptions!$B$10)*7/9</f>
        <v>0.10170683682652987</v>
      </c>
      <c r="J19" s="9">
        <f>Assumptions!$B$10+($B$20-Assumptions!$B$10)*8/9</f>
        <v>0.09668125055237628</v>
      </c>
      <c r="K19" s="9">
        <f>Assumptions!$B$10+($B$20-Assumptions!$B$10)*9/9</f>
        <v>0.09165566427822269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0.09165566427822269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4488191282.062895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5678018332.055474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0.2130633171192885</v>
      </c>
    </row>
    <row r="7" spans="1:2" x14ac:dyDescent="0.25">
      <c r="A7" t="s">
        <v>66</v>
      </c>
      <c r="B7" s="18">
        <f>-MAX(B5,0)*B6</f>
        <v>-1209777420.491869</v>
      </c>
    </row>
    <row r="8" spans="1:2" x14ac:dyDescent="0.25">
      <c r="A8" t="s">
        <v>67</v>
      </c>
      <c r="B8" s="18">
        <f>IF(OR(Assumptions!$B$33=0,Assumptions!B12&lt;=0),B5,MAX(B5+B7,0))</f>
        <v>4468240911.563605</v>
      </c>
    </row>
    <row r="9" spans="1:2" x14ac:dyDescent="0.25">
      <c r="A9" t="s">
        <v>68</v>
      </c>
      <c r="B9" s="18">
        <f>B8*(1+Assumptions!B12)/(Assumptions!B26-Assumptions!B12)</f>
        <v>103862693163.64664</v>
      </c>
    </row>
    <row r="10" spans="1:2" x14ac:dyDescent="0.25">
      <c r="A10" t="s">
        <v>69</v>
      </c>
      <c r="B10" s="18">
        <f>B9/(1+Assumptions!B26)^(10-0.5*Assumptions!B32)</f>
        <v>55055439129.09485</v>
      </c>
    </row>
    <row r="11" spans="1:2" x14ac:dyDescent="0.25">
      <c r="A11" t="s">
        <v>70</v>
      </c>
      <c r="B11" s="18">
        <f>Forecast!B17+B10</f>
        <v>77069730410.7228</v>
      </c>
    </row>
    <row r="12" spans="1:2" x14ac:dyDescent="0.25">
      <c r="A12" t="s">
        <v>71</v>
      </c>
      <c r="B12" s="18">
        <f>-Assumptions!B30</f>
        <v>-22706000000</v>
      </c>
    </row>
    <row r="13" spans="1:2" x14ac:dyDescent="0.25">
      <c r="A13" t="s">
        <v>72</v>
      </c>
      <c r="B13" s="18">
        <f>B11+B12</f>
        <v>54363730410.72279</v>
      </c>
    </row>
    <row r="14" spans="1:2" x14ac:dyDescent="0.25">
      <c r="A14" s="19" t="s">
        <v>73</v>
      </c>
      <c r="B14" s="24">
        <f>B13/Assumptions!B31</f>
        <v>134.49710640950715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9400804701.43754</v>
      </c>
    </row>
    <row r="18" spans="1:2" x14ac:dyDescent="0.25">
      <c r="A18" t="s">
        <v>68</v>
      </c>
      <c r="B18" s="18">
        <f>B17*Assumptions!B13</f>
        <v>165263441965.94904</v>
      </c>
    </row>
    <row r="19" spans="1:2" x14ac:dyDescent="0.25">
      <c r="A19" t="s">
        <v>69</v>
      </c>
      <c r="B19" s="18">
        <f>B18/(1+Assumptions!B26)^(10-0.5*Assumptions!B32)</f>
        <v>87602690554.97263</v>
      </c>
    </row>
    <row r="20" spans="1:2" x14ac:dyDescent="0.25">
      <c r="A20" t="s">
        <v>70</v>
      </c>
      <c r="B20" s="18">
        <f>Forecast!B17+B19</f>
        <v>109616981836.60057</v>
      </c>
    </row>
    <row r="21" spans="1:2" x14ac:dyDescent="0.25">
      <c r="A21" t="s">
        <v>71</v>
      </c>
      <c r="B21" s="18">
        <f>-Assumptions!B30</f>
        <v>-22706000000</v>
      </c>
    </row>
    <row r="22" spans="1:2" x14ac:dyDescent="0.25">
      <c r="A22" t="s">
        <v>72</v>
      </c>
      <c r="B22" s="18">
        <f>B20+B21</f>
        <v>86910981836.60057</v>
      </c>
    </row>
    <row r="23" spans="1:2" x14ac:dyDescent="0.25">
      <c r="A23" s="19" t="s">
        <v>73</v>
      </c>
      <c r="B23" s="25">
        <f>B22/Assumptions!B31</f>
        <v>215.01974724542447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233.45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134.49710640950715</v>
      </c>
    </row>
    <row r="29" spans="1:2" x14ac:dyDescent="0.25">
      <c r="A29" s="19" t="s">
        <v>81</v>
      </c>
      <c r="B29" s="11">
        <f>B28/B26-1</f>
        <v>-0.42387189372667744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0.049096</v>
      </c>
      <c r="B5" s="31">
        <v>239.3047286682394</v>
      </c>
      <c r="C5" s="31">
        <v>265.0932222918533</v>
      </c>
      <c r="D5" s="31">
        <v>302.2518900965843</v>
      </c>
      <c r="E5" s="31">
        <v>359.71205868050305</v>
      </c>
      <c r="F5" s="31">
        <v>459.07719794200756</v>
      </c>
    </row>
    <row r="6" spans="1:6" x14ac:dyDescent="0.25">
      <c r="A6" s="30">
        <v>0.059096</v>
      </c>
      <c r="B6" s="31">
        <v>168.22077863247054</v>
      </c>
      <c r="C6" s="31">
        <v>179.11527221732894</v>
      </c>
      <c r="D6" s="31">
        <v>193.65038603646545</v>
      </c>
      <c r="E6" s="31">
        <v>213.70298644656725</v>
      </c>
      <c r="F6" s="31">
        <v>242.70776380555603</v>
      </c>
    </row>
    <row r="7" spans="1:6" x14ac:dyDescent="0.25">
      <c r="A7" s="30">
        <v>0.069096</v>
      </c>
      <c r="B7" s="31">
        <v>123.64622485241564</v>
      </c>
      <c r="C7" s="31">
        <v>128.3733955686579</v>
      </c>
      <c r="D7" s="32">
        <v>134.49788064356062</v>
      </c>
      <c r="E7" s="31">
        <v>142.55578902381683</v>
      </c>
      <c r="F7" s="31">
        <v>153.39769994394953</v>
      </c>
    </row>
    <row r="8" spans="1:6" x14ac:dyDescent="0.25">
      <c r="A8" s="30">
        <v>0.079096</v>
      </c>
      <c r="B8" s="31">
        <v>93.15869243098581</v>
      </c>
      <c r="C8" s="31">
        <v>94.96670489236337</v>
      </c>
      <c r="D8" s="31">
        <v>97.3596317551236</v>
      </c>
      <c r="E8" s="31">
        <v>100.51617833173073</v>
      </c>
      <c r="F8" s="31">
        <v>104.69610277956185</v>
      </c>
    </row>
    <row r="9" spans="1:6" x14ac:dyDescent="0.25">
      <c r="A9" s="30">
        <v>0.089096</v>
      </c>
      <c r="B9" s="31">
        <v>71.04301503444687</v>
      </c>
      <c r="C9" s="31">
        <v>71.35821385166155</v>
      </c>
      <c r="D9" s="31">
        <v>71.92279349509272</v>
      </c>
      <c r="E9" s="31">
        <v>72.80005287487388</v>
      </c>
      <c r="F9" s="31">
        <v>74.0766933375972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25204000000</v>
      </c>
      <c r="C5" s="18">
        <v>22063000000</v>
      </c>
      <c r="D5" s="18">
        <v>20426000000</v>
      </c>
      <c r="E5" s="18">
        <v>19698000000</v>
      </c>
      <c r="F5" s="6" t="s">
        <v>91</v>
      </c>
    </row>
    <row r="6" spans="1:6" x14ac:dyDescent="0.25">
      <c r="A6" t="s">
        <v>51</v>
      </c>
      <c r="B6" s="18">
        <v>4607000000</v>
      </c>
      <c r="C6" s="18">
        <v>4149000000</v>
      </c>
      <c r="D6" s="18">
        <v>3823000000</v>
      </c>
      <c r="E6" s="18">
        <v>3428000000</v>
      </c>
      <c r="F6" s="6" t="s">
        <v>92</v>
      </c>
    </row>
    <row r="7" spans="1:6" x14ac:dyDescent="0.25">
      <c r="A7" t="s">
        <v>93</v>
      </c>
      <c r="B7" s="18">
        <v>1965000000</v>
      </c>
      <c r="C7" s="18">
        <v>1472000000</v>
      </c>
      <c r="D7" s="18">
        <v>1326000000</v>
      </c>
      <c r="E7" s="18">
        <v>1284000000</v>
      </c>
      <c r="F7" s="6" t="s">
        <v>94</v>
      </c>
    </row>
    <row r="8" spans="1:6" x14ac:dyDescent="0.25">
      <c r="A8" t="s">
        <v>95</v>
      </c>
      <c r="B8" s="18">
        <v>3227000000</v>
      </c>
      <c r="C8" s="18">
        <v>3231000000</v>
      </c>
      <c r="D8" s="18">
        <v>2895000000</v>
      </c>
      <c r="E8" s="18">
        <v>2587000000</v>
      </c>
      <c r="F8" s="6" t="s">
        <v>96</v>
      </c>
    </row>
    <row r="9" spans="1:6" x14ac:dyDescent="0.25">
      <c r="A9" t="s">
        <v>97</v>
      </c>
      <c r="B9" s="18">
        <v>513000000</v>
      </c>
      <c r="C9" s="18">
        <v>24000000</v>
      </c>
      <c r="D9" s="18">
        <v>251000000</v>
      </c>
      <c r="E9" s="18">
        <v>145000000</v>
      </c>
      <c r="F9" s="6" t="s">
        <v>98</v>
      </c>
    </row>
    <row r="10" spans="1:6" x14ac:dyDescent="0.25">
      <c r="A10" t="s">
        <v>99</v>
      </c>
      <c r="B10" s="18">
        <v>22907000000</v>
      </c>
      <c r="C10" s="18">
        <v>23900000000</v>
      </c>
      <c r="D10" s="18">
        <v>16229000000</v>
      </c>
      <c r="E10" s="18">
        <v>14984000000</v>
      </c>
      <c r="F10" s="6" t="s">
        <v>100</v>
      </c>
    </row>
    <row r="11" spans="1:6" x14ac:dyDescent="0.25">
      <c r="A11" t="s">
        <v>101</v>
      </c>
      <c r="B11" s="18">
        <v>201000000</v>
      </c>
      <c r="C11" s="18">
        <v>414000000</v>
      </c>
      <c r="D11" s="18">
        <v>458000000</v>
      </c>
      <c r="E11" s="18">
        <v>351000000</v>
      </c>
      <c r="F11" s="6" t="s">
        <v>102</v>
      </c>
    </row>
    <row r="12" spans="1:6" x14ac:dyDescent="0.25">
      <c r="A12" t="s">
        <v>34</v>
      </c>
      <c r="B12" s="34">
        <v>404200000</v>
      </c>
      <c r="C12" s="34">
        <v>403400000</v>
      </c>
      <c r="D12" s="34">
        <v>406900000</v>
      </c>
      <c r="E12" s="34">
        <v>415000000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