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<sst xmlns="http://schemas.openxmlformats.org/spreadsheetml/2006/main" count="112" uniqueCount="100">
  <si>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Williams Companies, Inc. (WMB)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</si>
  <si>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</si>
  <si>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</si>
  <si>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</si>
  <si>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</si>
  <si>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</si>
  <si>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</si>
  <si>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</si>
  <si>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</si>
  <si>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</si>
  <si>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</si>
  <si>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</si>
  <si>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</si>
  <si>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</si>
  <si>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</si>
  <si>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</si>
  <si>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</si>
  <si>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</si>
  <si>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</si>
  <si>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</si>
  <si>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</si>
  <si>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</si>
  <si>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</si>
  <si>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</si>
  <si>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</si>
  <si>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</si>
  <si>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</si>
  <si>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</si>
  <si>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</si>
  <si>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</si>
  <si>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</si>
  <si>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</si>
  <si>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</si>
  <si>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</si>
  <si>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</si>
  <si>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</si>
  <si>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</si>
  <si>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</si>
  <si>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</si>
  <si>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</si>
  <si>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</si>
  <si>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</si>
  <si>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</si>
  <si>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</si>
  <si>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</si>
  <si>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</si>
  <si>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</si>
  <si>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</si>
  <si>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</si>
  <si>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</si>
  <si>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</si>
  <si>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</si>
  <si>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</si>
  <si>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</si>
  <si>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</si>
  <si>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</si>
  <si>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</si>
  <si>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</si>
  <si>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</si>
  <si>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</si>
  <si>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</si>
  <si>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</si>
  <si>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</si>
  <si>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</si>
  <si>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</si>
  <si>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</si>
  <si>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</si>
  <si>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</si>
  <si>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</si>
  <si>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</si>
  <si>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</si>
  <si>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</si>
  <si>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</si>
  <si>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</si>
  <si>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</si>
  <si>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</si>
  <si>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</si>
  <si>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</si>
  <si>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</si>
  <si>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</si>
  <si>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</si>
  <si>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</si>
  <si>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</si>
  <si>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</si>
  <si>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</si>
  <si>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</si>
  <si>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</si>
  <si>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</si>
  <si>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</si>
  <si>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</si>
  <si>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</si>
  <si>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</si>
  <si>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</si>
  <si>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</si>
  <si>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</si>
  <si>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</si>
  <si>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</si>
  <si>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</si>
  <si>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27.9% of revenue against depreciation of 19.5%.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</si>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</sst>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0.029089364281741803</v>
      </c>
    </row>
    <row r="7" spans="1:2" x14ac:dyDescent="0.25">
      <c r="A7" t="s">
        <v>5</v>
      </c>
      <c r="B7" s="6">
        <v>0.33658979791942584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0.19519300936867784</v>
      </c>
    </row>
    <row r="10" spans="1:2" x14ac:dyDescent="0.25">
      <c r="A10" t="s">
        <v>8</v>
      </c>
      <c r="B10" s="6">
        <v>0.27921562650648507</v>
      </c>
    </row>
    <row r="11" spans="1:2" x14ac:dyDescent="0.25">
      <c r="A11" t="s">
        <v>9</v>
      </c>
      <c r="B11" s="6">
        <v>0.11333794056668971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17.38848626262028</v>
      </c>
    </row>
    <row r="14" spans="1:3" x14ac:dyDescent="0.25">
      <c r="A14" t="s">
        <v>12</v>
      </c>
      <c r="B14" s="6">
        <v>0.07828379581723413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0.7440599999999999</v>
      </c>
      <c r="C19" s="8" t="s">
        <v>19</v>
      </c>
    </row>
    <row r="20" spans="1:2" x14ac:dyDescent="0.25">
      <c r="A20" t="s">
        <v>20</v>
      </c>
      <c r="B20" s="10">
        <f>B17+B19*B18</f>
        <v>0.09090329999999999</v>
      </c>
    </row>
    <row r="21" spans="1:3" x14ac:dyDescent="0.25">
      <c r="A21" t="s">
        <v>21</v>
      </c>
      <c r="B21" s="6">
        <v>0.05119829575714539</v>
      </c>
      <c r="C21" s="8" t="s">
        <v>22</v>
      </c>
    </row>
    <row r="22" spans="1:2" x14ac:dyDescent="0.25">
      <c r="A22" t="s">
        <v>23</v>
      </c>
      <c r="B22" s="11">
        <v>88129224704</v>
      </c>
    </row>
    <row r="23" spans="1:2" x14ac:dyDescent="0.25">
      <c r="A23" t="s">
        <v>24</v>
      </c>
      <c r="B23" s="11">
        <v>29393000000</v>
      </c>
    </row>
    <row r="24" spans="1:2" x14ac:dyDescent="0.25">
      <c r="A24" t="s">
        <v>25</v>
      </c>
      <c r="B24" s="10">
        <f>B22/(B22+B23)</f>
        <v>0.749894115142635</v>
      </c>
    </row>
    <row r="25" spans="1:2" x14ac:dyDescent="0.25">
      <c r="A25" t="s">
        <v>26</v>
      </c>
      <c r="B25" s="10">
        <f>1-B24</f>
        <v>0.25010588485736496</v>
      </c>
    </row>
    <row r="26" spans="1:2" x14ac:dyDescent="0.25">
      <c r="A26" t="s">
        <v>27</v>
      </c>
      <c r="B26" s="12">
        <f>B24*B20+B25*B21*(1-B8)</f>
        <v>0.07828379581723413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11950000000</v>
      </c>
      <c r="C29" s="8" t="s">
        <v>30</v>
      </c>
    </row>
    <row r="30" spans="1:2" x14ac:dyDescent="0.25">
      <c r="A30" t="s">
        <v>31</v>
      </c>
      <c r="B30" s="11">
        <v>29330000000</v>
      </c>
    </row>
    <row r="31" spans="1:2" x14ac:dyDescent="0.25">
      <c r="A31" t="s">
        <v>32</v>
      </c>
      <c r="B31" s="13">
        <v>1225000000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0.029089364281741803</v>
      </c>
      <c r="C5" s="10">
        <f>Assumptions!B6</f>
        <v>0.029089364281741803</v>
      </c>
      <c r="D5" s="10">
        <f>Assumptions!B6</f>
        <v>0.029089364281741803</v>
      </c>
      <c r="E5" s="10">
        <f>Assumptions!B6</f>
        <v>0.029089364281741803</v>
      </c>
      <c r="F5" s="10">
        <f>Assumptions!B6</f>
        <v>0.029089364281741803</v>
      </c>
    </row>
    <row r="6" spans="1:6" x14ac:dyDescent="0.25">
      <c r="A6" t="s">
        <v>43</v>
      </c>
      <c r="B6" s="18">
        <f>Assumptions!B29*(1+B5)</f>
        <v>12297617903.166815</v>
      </c>
      <c r="C6" s="18">
        <f>B6*(1+C5)</f>
        <v>12655347790.149704</v>
      </c>
      <c r="D6" s="18">
        <f>C6*(1+D5)</f>
        <v>13023483812.129505</v>
      </c>
      <c r="E6" s="18">
        <f>D6*(1+E5)</f>
        <v>13402328676.957909</v>
      </c>
      <c r="F6" s="18">
        <f>E6*(1+F5)</f>
        <v>13792193898.065573</v>
      </c>
    </row>
    <row r="7" spans="1:6" x14ac:dyDescent="0.25">
      <c r="A7" t="s">
        <v>5</v>
      </c>
      <c r="B7" s="10">
        <f>Assumptions!B7</f>
        <v>0.33658979791942584</v>
      </c>
      <c r="C7" s="10">
        <f>Assumptions!B7</f>
        <v>0.33658979791942584</v>
      </c>
      <c r="D7" s="10">
        <f>Assumptions!B7</f>
        <v>0.33658979791942584</v>
      </c>
      <c r="E7" s="10">
        <f>Assumptions!B7</f>
        <v>0.33658979791942584</v>
      </c>
      <c r="F7" s="10">
        <f>Assumptions!B7</f>
        <v>0.33658979791942584</v>
      </c>
    </row>
    <row r="8" spans="1:6" x14ac:dyDescent="0.25">
      <c r="A8" t="s">
        <v>44</v>
      </c>
      <c r="B8" s="18">
        <f>B6*B7</f>
        <v>4139252724.9172316</v>
      </c>
      <c r="C8" s="18">
        <f>C6*C7</f>
        <v>4259660955.286541</v>
      </c>
      <c r="D8" s="18">
        <f>D6*D7</f>
        <v>4383571784.531584</v>
      </c>
      <c r="E8" s="18">
        <f>E6*E7</f>
        <v>4511087101.026988</v>
      </c>
      <c r="F8" s="18">
        <f>F6*F7</f>
        <v>4642311757.0154295</v>
      </c>
    </row>
    <row r="9" spans="1:6" x14ac:dyDescent="0.25">
      <c r="A9" t="s">
        <v>45</v>
      </c>
      <c r="B9" s="18">
        <f>B8*(1-Assumptions!B8)</f>
        <v>3270009652.684613</v>
      </c>
      <c r="C9" s="18">
        <f>C8*(1-Assumptions!B8)</f>
        <v>3365132154.6763678</v>
      </c>
      <c r="D9" s="18">
        <f>D8*(1-Assumptions!B8)</f>
        <v>3463021709.7799516</v>
      </c>
      <c r="E9" s="18">
        <f>E8*(1-Assumptions!B8)</f>
        <v>3563758809.811321</v>
      </c>
      <c r="F9" s="18">
        <f>F8*(1-Assumptions!B8)</f>
        <v>3667426288.0421896</v>
      </c>
    </row>
    <row r="10" spans="1:6" x14ac:dyDescent="0.25">
      <c r="A10" t="s">
        <v>46</v>
      </c>
      <c r="B10" s="18">
        <f>B6*Assumptions!B9</f>
        <v>2400409046.5852604</v>
      </c>
      <c r="C10" s="18">
        <f>C6*Assumptions!B9</f>
        <v>2470235419.7665677</v>
      </c>
      <c r="D10" s="18">
        <f>D6*Assumptions!B9</f>
        <v>2542092997.7538185</v>
      </c>
      <c r="E10" s="18">
        <f>E6*Assumptions!B9</f>
        <v>2616040867.003545</v>
      </c>
      <c r="F10" s="18">
        <f>F6*Assumptions!B9</f>
        <v>2692139832.7597346</v>
      </c>
    </row>
    <row r="11" spans="1:6" x14ac:dyDescent="0.25">
      <c r="A11" t="s">
        <v>47</v>
      </c>
      <c r="B11" s="18">
        <f>-B6*Assumptions!B10</f>
        <v>-3433687087.3700895</v>
      </c>
      <c r="C11" s="18">
        <f>-C6*Assumptions!B10</f>
        <v>-3533570861.884111</v>
      </c>
      <c r="D11" s="18">
        <f>-D6*Assumptions!B10</f>
        <v>-3636360191.9008064</v>
      </c>
      <c r="E11" s="18">
        <f>-E6*Assumptions!B10</f>
        <v>-3742139598.1826334</v>
      </c>
      <c r="F11" s="18">
        <f>-F6*Assumptions!B10</f>
        <v>-3850996060.1472993</v>
      </c>
    </row>
    <row r="12" spans="1:6" x14ac:dyDescent="0.25">
      <c r="A12" t="s">
        <v>48</v>
      </c>
      <c r="B12" s="18">
        <f>-(B6-Assumptions!B29)*Assumptions!B11</f>
        <v>-39398297.24903776</v>
      </c>
      <c r="C12" s="18">
        <f>-(C6-B6)*Assumptions!B11</f>
        <v>-40544368.66979532</v>
      </c>
      <c r="D12" s="18">
        <f>-(D6-C6)*Assumptions!B11</f>
        <v>-41723778.57960428</v>
      </c>
      <c r="E12" s="18">
        <f>-(E6-D6)*Assumptions!B11</f>
        <v>-42937496.77391719</v>
      </c>
      <c r="F12" s="18">
        <f>-(F6-E6)*Assumptions!B11</f>
        <v>-44186521.258919775</v>
      </c>
    </row>
    <row r="13" spans="1:6" x14ac:dyDescent="0.25">
      <c r="A13" s="19" t="s">
        <v>49</v>
      </c>
      <c r="B13" s="20">
        <f>B9+B10+B11+B12</f>
        <v>2197333314.6507463</v>
      </c>
      <c r="C13" s="20">
        <f>C9+C10+C11+C12</f>
        <v>2261252343.8890295</v>
      </c>
      <c r="D13" s="20">
        <f>D9+D10+D11+D12</f>
        <v>2327030737.053359</v>
      </c>
      <c r="E13" s="20">
        <f>E9+E10+E11+E12</f>
        <v>2394722581.8583145</v>
      </c>
      <c r="F13" s="20">
        <f>F9+F10+F11+F12</f>
        <v>2464383539.3957047</v>
      </c>
    </row>
    <row r="14" spans="1:6" x14ac:dyDescent="0.25">
      <c r="A14" t="s">
        <v>50</v>
      </c>
      <c r="B14" s="21">
        <f>1/(1+Assumptions!$B$26)^(1-0.5*Assumptions!$B$32)</f>
        <v>0.9630159065331835</v>
      </c>
      <c r="C14" s="21">
        <f>1/(1+Assumptions!$B$26)^(2-0.5*Assumptions!$B$32)</f>
        <v>0.893100601408288</v>
      </c>
      <c r="D14" s="21">
        <f>1/(1+Assumptions!$B$26)^(3-0.5*Assumptions!$B$32)</f>
        <v>0.8282611728681359</v>
      </c>
      <c r="E14" s="21">
        <f>1/(1+Assumptions!$B$26)^(4-0.5*Assumptions!$B$32)</f>
        <v>0.7681291104262533</v>
      </c>
      <c r="F14" s="21">
        <f>1/(1+Assumptions!$B$26)^(5-0.5*Assumptions!$B$32)</f>
        <v>0.7123626575915353</v>
      </c>
    </row>
    <row r="15" spans="1:6" x14ac:dyDescent="0.25">
      <c r="A15" s="19" t="s">
        <v>51</v>
      </c>
      <c r="B15" s="20">
        <f>B13*B14</f>
        <v>2116066933.9639535</v>
      </c>
      <c r="C15" s="20">
        <f>C13*C14</f>
        <v>2019525828.2631931</v>
      </c>
      <c r="D15" s="20">
        <f>D13*D14</f>
        <v>1927389207.572018</v>
      </c>
      <c r="E15" s="20">
        <f>E13*E14</f>
        <v>1839456126.5204878</v>
      </c>
      <c r="F15" s="20">
        <f>F13*F14</f>
        <v>1755534807.4487581</v>
      </c>
    </row>
    <row r="17" spans="1:2" x14ac:dyDescent="0.25">
      <c r="A17" s="22" t="s">
        <v>52</v>
      </c>
      <c r="B17" s="23">
        <f>SUM(B15:F15)</f>
        <v>9657972903.76841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2464383539.3957047</v>
      </c>
    </row>
    <row r="5" spans="1:2" x14ac:dyDescent="0.25">
      <c r="A5" t="s">
        <v>56</v>
      </c>
      <c r="B5" s="18">
        <f>IF(Assumptions!$B$33=0,B4,B4-Forecast!F11-Forecast!F10-Forecast!F12)</f>
        <v>3667426288.0421896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0.31935089170134834</v>
      </c>
    </row>
    <row r="7" spans="1:2" x14ac:dyDescent="0.25">
      <c r="A7" t="s">
        <v>58</v>
      </c>
      <c r="B7" s="18">
        <f>-MAX(Forecast!F9,0)*B6</f>
        <v>-1171195855.3352392</v>
      </c>
    </row>
    <row r="8" spans="1:2" x14ac:dyDescent="0.25">
      <c r="A8" t="s">
        <v>59</v>
      </c>
      <c r="B8" s="18">
        <f>IF(OR(Assumptions!$B$33=0,Assumptions!B12&lt;=0),B5,MAX(B5+B7,0))</f>
        <v>2496230432.70695</v>
      </c>
    </row>
    <row r="9" spans="1:2" x14ac:dyDescent="0.25">
      <c r="A9" t="s">
        <v>60</v>
      </c>
      <c r="B9" s="18">
        <f>B8*(1+Assumptions!B12)/(Assumptions!B26-Assumptions!B12)</f>
        <v>48019030068.7448</v>
      </c>
    </row>
    <row r="10" spans="1:2" x14ac:dyDescent="0.25">
      <c r="A10" t="s">
        <v>61</v>
      </c>
      <c r="B10" s="18">
        <f>B9/(1+Assumptions!B26)^(5-0.5*Assumptions!B32)</f>
        <v>34206963874.738888</v>
      </c>
    </row>
    <row r="11" spans="1:2" x14ac:dyDescent="0.25">
      <c r="A11" t="s">
        <v>62</v>
      </c>
      <c r="B11" s="18">
        <f>Forecast!B17+B10</f>
        <v>43864936778.50729</v>
      </c>
    </row>
    <row r="12" spans="1:2" x14ac:dyDescent="0.25">
      <c r="A12" t="s">
        <v>63</v>
      </c>
      <c r="B12" s="18">
        <f>-Assumptions!B30</f>
        <v>-29330000000</v>
      </c>
    </row>
    <row r="13" spans="1:2" x14ac:dyDescent="0.25">
      <c r="A13" t="s">
        <v>64</v>
      </c>
      <c r="B13" s="18">
        <f>B11+B12</f>
        <v>14534936778.507294</v>
      </c>
    </row>
    <row r="14" spans="1:2" x14ac:dyDescent="0.25">
      <c r="A14" s="19" t="s">
        <v>65</v>
      </c>
      <c r="B14" s="24">
        <f>B13/Assumptions!B31</f>
        <v>11.865254513067178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7334451589.775164</v>
      </c>
    </row>
    <row r="18" spans="1:2" x14ac:dyDescent="0.25">
      <c r="A18" t="s">
        <v>60</v>
      </c>
      <c r="B18" s="18">
        <f>B17*Assumptions!B13</f>
        <v>127535010712.6589</v>
      </c>
    </row>
    <row r="19" spans="1:2" x14ac:dyDescent="0.25">
      <c r="A19" t="s">
        <v>61</v>
      </c>
      <c r="B19" s="18">
        <f>B18/(1+Assumptions!B26)^(5-0.5*Assumptions!B32)</f>
        <v>90851179167.23462</v>
      </c>
    </row>
    <row r="20" spans="1:2" x14ac:dyDescent="0.25">
      <c r="A20" t="s">
        <v>62</v>
      </c>
      <c r="B20" s="18">
        <f>Forecast!B17+B19</f>
        <v>100509152071.00302</v>
      </c>
    </row>
    <row r="21" spans="1:2" x14ac:dyDescent="0.25">
      <c r="A21" t="s">
        <v>63</v>
      </c>
      <c r="B21" s="18">
        <f>-Assumptions!B30</f>
        <v>-29330000000</v>
      </c>
    </row>
    <row r="22" spans="1:2" x14ac:dyDescent="0.25">
      <c r="A22" t="s">
        <v>64</v>
      </c>
      <c r="B22" s="18">
        <f>B20+B21</f>
        <v>71179152071.00302</v>
      </c>
    </row>
    <row r="23" spans="1:2" x14ac:dyDescent="0.25">
      <c r="A23" s="19" t="s">
        <v>65</v>
      </c>
      <c r="B23" s="25">
        <f>B22/Assumptions!B31</f>
        <v>58.105430262043285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11.865254513067178</v>
      </c>
    </row>
    <row r="29" spans="1:2" x14ac:dyDescent="0.25">
      <c r="A29" s="19" t="s">
        <v>73</v>
      </c>
      <c r="B29" s="12">
        <f>B28/B26-1</f>
        <v>-0.8353191601239809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0.058284</v>
      </c>
      <c r="B5" s="31">
        <v>27.979828055681594</v>
      </c>
      <c r="C5" s="31">
        <v>29.861376750238616</v>
      </c>
      <c r="D5" s="31">
        <v>32.26238221308987</v>
      </c>
      <c r="E5" s="31">
        <v>35.458330638706265</v>
      </c>
      <c r="F5" s="31">
        <v>39.96133955163152</v>
      </c>
    </row>
    <row r="6" spans="1:6" x14ac:dyDescent="0.25">
      <c r="A6" s="30">
        <v>0.068284</v>
      </c>
      <c r="B6" s="31">
        <v>18.12681068105939</v>
      </c>
      <c r="C6" s="31">
        <v>18.743281361238118</v>
      </c>
      <c r="D6" s="31">
        <v>19.468384564345087</v>
      </c>
      <c r="E6" s="31">
        <v>20.34468344584799</v>
      </c>
      <c r="F6" s="31">
        <v>21.440316906598238</v>
      </c>
    </row>
    <row r="7" spans="1:6" x14ac:dyDescent="0.25">
      <c r="A7" s="30">
        <v>0.078284</v>
      </c>
      <c r="B7" s="31">
        <v>11.592725458941501</v>
      </c>
      <c r="C7" s="31">
        <v>11.728939876091832</v>
      </c>
      <c r="D7" s="32">
        <v>11.865154293242144</v>
      </c>
      <c r="E7" s="31">
        <v>12.001368710392475</v>
      </c>
      <c r="F7" s="31">
        <v>12.137583127542793</v>
      </c>
    </row>
    <row r="8" spans="1:6" x14ac:dyDescent="0.25">
      <c r="A8" s="30">
        <v>0.088284</v>
      </c>
      <c r="B8" s="31">
        <v>7.290355793201879</v>
      </c>
      <c r="C8" s="31">
        <v>7.406226380523775</v>
      </c>
      <c r="D8" s="31">
        <v>7.522096967845652</v>
      </c>
      <c r="E8" s="31">
        <v>7.637967555167554</v>
      </c>
      <c r="F8" s="31">
        <v>7.753838142489437</v>
      </c>
    </row>
    <row r="9" spans="1:6" x14ac:dyDescent="0.25">
      <c r="A9" s="30">
        <v>0.098284</v>
      </c>
      <c r="B9" s="31">
        <v>3.8791021925015414</v>
      </c>
      <c r="C9" s="31">
        <v>3.978986331560971</v>
      </c>
      <c r="D9" s="31">
        <v>4.078870470620397</v>
      </c>
      <c r="E9" s="31">
        <v>4.178754609679827</v>
      </c>
      <c r="F9" s="31">
        <v>4.27863874873925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11950000000</v>
      </c>
      <c r="C5" s="18">
        <v>10503000000</v>
      </c>
      <c r="D5" s="18">
        <v>10907000000</v>
      </c>
      <c r="E5" s="18">
        <v>10965000000</v>
      </c>
      <c r="F5" s="8" t="s">
        <v>84</v>
      </c>
    </row>
    <row r="6" spans="1:6" x14ac:dyDescent="0.25">
      <c r="A6" t="s">
        <v>44</v>
      </c>
      <c r="B6" s="18">
        <v>4408000000</v>
      </c>
      <c r="C6" s="18">
        <v>3339000000</v>
      </c>
      <c r="D6" s="18">
        <v>4192000000</v>
      </c>
      <c r="E6" s="18">
        <v>3018000000</v>
      </c>
      <c r="F6" s="8" t="s">
        <v>85</v>
      </c>
    </row>
    <row r="7" spans="1:6" x14ac:dyDescent="0.25">
      <c r="A7" t="s">
        <v>86</v>
      </c>
      <c r="B7" s="18">
        <v>2347000000</v>
      </c>
      <c r="C7" s="18">
        <v>2219000000</v>
      </c>
      <c r="D7" s="18">
        <v>2071000000</v>
      </c>
      <c r="E7" s="18">
        <v>2009000000</v>
      </c>
      <c r="F7" s="8" t="s">
        <v>87</v>
      </c>
    </row>
    <row r="8" spans="1:6" x14ac:dyDescent="0.25">
      <c r="A8" t="s">
        <v>88</v>
      </c>
      <c r="B8" s="18">
        <v>4999000000</v>
      </c>
      <c r="C8" s="18">
        <v>2678000000</v>
      </c>
      <c r="D8" s="18">
        <v>2567000000</v>
      </c>
      <c r="E8" s="18">
        <v>2283000000</v>
      </c>
      <c r="F8" s="8" t="s">
        <v>89</v>
      </c>
    </row>
    <row r="9" spans="1:6" x14ac:dyDescent="0.25">
      <c r="A9" t="s">
        <v>90</v>
      </c>
      <c r="B9" s="18">
        <v>164000000</v>
      </c>
      <c r="C9" s="18">
        <v>526000000</v>
      </c>
      <c r="D9" s="18">
        <v>-108000000</v>
      </c>
      <c r="E9" s="18">
        <v>379000000</v>
      </c>
      <c r="F9" s="8" t="s">
        <v>91</v>
      </c>
    </row>
    <row r="10" spans="1:6" x14ac:dyDescent="0.25">
      <c r="A10" t="s">
        <v>92</v>
      </c>
      <c r="B10" s="18">
        <v>29393000000</v>
      </c>
      <c r="C10" s="18">
        <v>26937000000</v>
      </c>
      <c r="D10" s="18">
        <v>26462000000</v>
      </c>
      <c r="E10" s="18">
        <v>22929000000</v>
      </c>
      <c r="F10" s="8" t="s">
        <v>93</v>
      </c>
    </row>
    <row r="11" spans="1:6" x14ac:dyDescent="0.25">
      <c r="A11" t="s">
        <v>94</v>
      </c>
      <c r="B11" s="18">
        <v>63000000</v>
      </c>
      <c r="C11" s="18">
        <v>60000000</v>
      </c>
      <c r="D11" s="18">
        <v>2150000000</v>
      </c>
      <c r="E11" s="18">
        <v>152000000</v>
      </c>
      <c r="F11" s="8" t="s">
        <v>95</v>
      </c>
    </row>
    <row r="12" spans="1:6" x14ac:dyDescent="0.25">
      <c r="A12" t="s">
        <v>32</v>
      </c>
      <c r="B12" s="34">
        <v>1225000000</v>
      </c>
      <c r="C12" s="34">
        <v>1222954000</v>
      </c>
      <c r="D12" s="34">
        <v>1222715000</v>
      </c>
      <c r="E12" s="34">
        <v>1222672000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