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<sst xmlns="http://schemas.openxmlformats.org/spreadsheetml/2006/main" count="120" uniqueCount="107">
  <si>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 Williams Companies, Inc. (WMB)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</si>
  <si>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</si>
  <si>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</si>
  <si>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</si>
  <si>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</si>
  <si>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</si>
  <si>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</si>
  <si>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</si>
  <si>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</si>
  <si>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</si>
  <si>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</si>
  <si>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</si>
  <si>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</si>
  <si>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</si>
  <si>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</si>
  <si>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</si>
  <si>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</si>
  <si>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</si>
  <si>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</si>
  <si>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</si>
  <si>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</si>
  <si>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</si>
  <si>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</si>
  <si>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</si>
  <si>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3.1x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</si>
  <si>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</si>
  <si>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</si>
  <si>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</si>
  <si>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</si>
  <si>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</si>
  <si>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</si>
  <si>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</si>
  <si>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</si>
  <si>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</si>
  <si>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</si>
  <si>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</si>
  <si>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</si>
  <si>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</si>
  <si>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</si>
  <si>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</si>
  <si>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</si>
  <si>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</si>
  <si>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</si>
  <si>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</si>
  <si>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</si>
  <si>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</si>
  <si>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</si>
  <si>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</si>
  <si>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</si>
  <si>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</si>
  <si>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</si>
  <si>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</si>
  <si>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</si>
  <si>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</si>
  <si>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</si>
  <si>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</si>
  <si>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</si>
  <si>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</si>
  <si>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</si>
  <si>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</si>
  <si>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</si>
  <si>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</si>
  <si>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</si>
  <si>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</si>
  <si>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</si>
  <si>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</si>
  <si>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</si>
  <si>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</si>
  <si>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</si>
  <si>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</si>
  <si>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</si>
  <si>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</si>
  <si>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</si>
  <si>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</si>
  <si>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</si>
  <si>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</si>
  <si>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</si>
  <si>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</si>
  <si>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</si>
  <si>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</si>
  <si>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</si>
  <si>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</si>
  <si>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</si>
  <si>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</si>
  <si>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</si>
  <si>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</si>
  <si>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</si>
  <si>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</si>
  <si>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</si>
  <si>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</si>
  <si>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</si>
  <si>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</si>
  <si>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</si>
  <si>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</si>
  <si>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</si>
  <si>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</si>
  <si>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</si>
  <si>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</si>
  <si>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</si>
  <si>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</si>
  <si>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</si>
  <si>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</si>
  <si>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</si>
  <si>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</si>
  <si>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</si>
  <si>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27.9% of revenue against depreciation of 19.5%.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</si>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</sst>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0.02967640251046033</v>
      </c>
    </row>
    <row r="7" spans="1:2" x14ac:dyDescent="0.25">
      <c r="A7" t="s">
        <v>4</v>
      </c>
      <c r="B7" s="5">
        <v>0.33658979791942584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0.19519300936867784</v>
      </c>
    </row>
    <row r="10" spans="1:3" x14ac:dyDescent="0.25">
      <c r="A10" t="s">
        <v>7</v>
      </c>
      <c r="B10" s="5">
        <v>0.27921562650648507</v>
      </c>
      <c r="C10" s="6" t="s">
        <v>8</v>
      </c>
    </row>
    <row r="11" spans="1:2" x14ac:dyDescent="0.25">
      <c r="A11" t="s">
        <v>9</v>
      </c>
      <c r="B11" s="5">
        <v>-0.003144642537803999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17.80496002368616</v>
      </c>
    </row>
    <row r="14" spans="1:3" x14ac:dyDescent="0.25">
      <c r="A14" t="s">
        <v>12</v>
      </c>
      <c r="B14" s="5">
        <v>0.07602608958860431</v>
      </c>
      <c r="C14" s="6" t="s">
        <v>13</v>
      </c>
    </row>
    <row r="15" spans="1:3" x14ac:dyDescent="0.25">
      <c r="A15" t="s">
        <v>14</v>
      </c>
      <c r="B15" s="5">
        <v>0.19519300936867784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0.7742100000000001</v>
      </c>
      <c r="C19" s="6" t="s">
        <v>21</v>
      </c>
    </row>
    <row r="20" spans="1:2" x14ac:dyDescent="0.25">
      <c r="A20" t="s">
        <v>22</v>
      </c>
      <c r="B20" s="9">
        <f>B17+B19*B18</f>
        <v>0.081689083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90942504960</v>
      </c>
    </row>
    <row r="23" spans="1:2" x14ac:dyDescent="0.25">
      <c r="A23" t="s">
        <v>26</v>
      </c>
      <c r="B23" s="10">
        <v>29393000000</v>
      </c>
    </row>
    <row r="24" spans="1:2" x14ac:dyDescent="0.25">
      <c r="A24" t="s">
        <v>27</v>
      </c>
      <c r="B24" s="9">
        <f>B22/(B22+B23)</f>
        <v>0.7557412501840554</v>
      </c>
    </row>
    <row r="25" spans="1:2" x14ac:dyDescent="0.25">
      <c r="A25" t="s">
        <v>28</v>
      </c>
      <c r="B25" s="9">
        <f>1-B24</f>
        <v>0.24425874981594464</v>
      </c>
    </row>
    <row r="26" spans="1:2" x14ac:dyDescent="0.25">
      <c r="A26" t="s">
        <v>29</v>
      </c>
      <c r="B26" s="11">
        <f>B24*B20+B25*B21*(1-B8)</f>
        <v>0.0728968713233989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11950000000</v>
      </c>
      <c r="C29" s="6" t="s">
        <v>32</v>
      </c>
    </row>
    <row r="30" spans="1:2" x14ac:dyDescent="0.25">
      <c r="A30" t="s">
        <v>33</v>
      </c>
      <c r="B30" s="10">
        <v>29330000000</v>
      </c>
    </row>
    <row r="31" spans="1:2" x14ac:dyDescent="0.25">
      <c r="A31" t="s">
        <v>34</v>
      </c>
      <c r="B31" s="12">
        <v>1225000000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0.02967640251046033</v>
      </c>
      <c r="C5" s="5">
        <v>0.146693353514328</v>
      </c>
      <c r="D5" s="5">
        <v>0.13148168432503698</v>
      </c>
      <c r="E5" s="5">
        <v>0.116270015135746</v>
      </c>
      <c r="F5" s="5">
        <v>0.10105834594645499</v>
      </c>
      <c r="G5" s="5">
        <v>0.085846676757164</v>
      </c>
      <c r="H5" s="5">
        <v>0.070635007567873</v>
      </c>
      <c r="I5" s="5">
        <v>0.05542333837858199</v>
      </c>
      <c r="J5" s="5">
        <v>0.04021166918929099</v>
      </c>
      <c r="K5" s="5">
        <v>0.024999999999999994</v>
      </c>
    </row>
    <row r="6" spans="1:11" x14ac:dyDescent="0.25">
      <c r="A6" t="s">
        <v>50</v>
      </c>
      <c r="B6" s="18">
        <f>Assumptions!B29*(1+B5)</f>
        <v>12304633010.000002</v>
      </c>
      <c r="C6" s="18">
        <f>B6*(1+C5)</f>
        <v>14109640890.000002</v>
      </c>
      <c r="D6" s="18">
        <f>C6*(1+D5)</f>
        <v>15964800239.438618</v>
      </c>
      <c r="E6" s="18">
        <f>D6*(1+E5)</f>
        <v>17821027804.91731</v>
      </c>
      <c r="F6" s="18">
        <f>E6*(1+F5)</f>
        <v>19621991397.948032</v>
      </c>
      <c r="G6" s="18">
        <f>F6*(1+G5)</f>
        <v>21306474150.81953</v>
      </c>
      <c r="H6" s="18">
        <f>G6*(1+H5)</f>
        <v>22811457113.70736</v>
      </c>
      <c r="I6" s="18">
        <f>H6*(1+I5)</f>
        <v>24075744220.228874</v>
      </c>
      <c r="J6" s="18">
        <f>I6*(1+J5)</f>
        <v>25043870082.298706</v>
      </c>
      <c r="K6" s="18">
        <f>J6*(1+K5)</f>
        <v>25669966834.35617</v>
      </c>
    </row>
    <row r="7" spans="1:11" x14ac:dyDescent="0.25">
      <c r="A7" t="s">
        <v>4</v>
      </c>
      <c r="B7" s="9">
        <f>Assumptions!B7</f>
        <v>0.33658979791942584</v>
      </c>
      <c r="C7" s="9">
        <f>Assumptions!B7</f>
        <v>0.33658979791942584</v>
      </c>
      <c r="D7" s="9">
        <f>Assumptions!B7</f>
        <v>0.33658979791942584</v>
      </c>
      <c r="E7" s="9">
        <f>Assumptions!B7</f>
        <v>0.33658979791942584</v>
      </c>
      <c r="F7" s="9">
        <f>Assumptions!B7</f>
        <v>0.33658979791942584</v>
      </c>
      <c r="G7" s="9">
        <f>Assumptions!B7</f>
        <v>0.33658979791942584</v>
      </c>
      <c r="H7" s="9">
        <f>Assumptions!B7</f>
        <v>0.33658979791942584</v>
      </c>
      <c r="I7" s="9">
        <f>Assumptions!B7</f>
        <v>0.33658979791942584</v>
      </c>
      <c r="J7" s="9">
        <f>Assumptions!B7</f>
        <v>0.33658979791942584</v>
      </c>
      <c r="K7" s="9">
        <f>Assumptions!B7</f>
        <v>0.33658979791942584</v>
      </c>
    </row>
    <row r="8" spans="1:11" x14ac:dyDescent="0.25">
      <c r="A8" t="s">
        <v>51</v>
      </c>
      <c r="B8" s="18">
        <f>B6*B7</f>
        <v>4141613938.308597</v>
      </c>
      <c r="C8" s="18">
        <f>C6*C7</f>
        <v>4749161175.880769</v>
      </c>
      <c r="D8" s="18">
        <f>D6*D7</f>
        <v>5373588886.416646</v>
      </c>
      <c r="E8" s="18">
        <f>E6*E7</f>
        <v>5998376147.5735855</v>
      </c>
      <c r="F8" s="18">
        <f>F6*F7</f>
        <v>6604562119.412041</v>
      </c>
      <c r="G8" s="18">
        <f>G6*G7</f>
        <v>7171541828.799816</v>
      </c>
      <c r="H8" s="18">
        <f>H6*H7</f>
        <v>7678103740.150409</v>
      </c>
      <c r="I8" s="18">
        <f>I6*I7</f>
        <v>8103649881.8466215</v>
      </c>
      <c r="J8" s="18">
        <f>J6*J7</f>
        <v>8429511170.121276</v>
      </c>
      <c r="K8" s="18">
        <f>K6*K7</f>
        <v>8640248949.374308</v>
      </c>
    </row>
    <row r="9" spans="1:11" x14ac:dyDescent="0.25">
      <c r="A9" t="s">
        <v>52</v>
      </c>
      <c r="B9" s="18">
        <f>B8*(1-Assumptions!B8)</f>
        <v>3271875011.263792</v>
      </c>
      <c r="C9" s="18">
        <f>C8*(1-Assumptions!B8)</f>
        <v>3751837328.9458075</v>
      </c>
      <c r="D9" s="18">
        <f>D8*(1-Assumptions!B8)</f>
        <v>4245135220.2691507</v>
      </c>
      <c r="E9" s="18">
        <f>E8*(1-Assumptions!B8)</f>
        <v>4738717156.583133</v>
      </c>
      <c r="F9" s="18">
        <f>F8*(1-Assumptions!B8)</f>
        <v>5217604074.335512</v>
      </c>
      <c r="G9" s="18">
        <f>G8*(1-Assumptions!B8)</f>
        <v>5665518044.751855</v>
      </c>
      <c r="H9" s="18">
        <f>H8*(1-Assumptions!B8)</f>
        <v>6065701954.718823</v>
      </c>
      <c r="I9" s="18">
        <f>I8*(1-Assumptions!B8)</f>
        <v>6401883406.658832</v>
      </c>
      <c r="J9" s="18">
        <f>J8*(1-Assumptions!B8)</f>
        <v>6659313824.395808</v>
      </c>
      <c r="K9" s="18">
        <f>K8*(1-Assumptions!B8)</f>
        <v>6825796670.005703</v>
      </c>
    </row>
    <row r="10" spans="1:11" x14ac:dyDescent="0.25">
      <c r="A10" t="s">
        <v>53</v>
      </c>
      <c r="B10" s="18">
        <f>B6*Assumptions!B9</f>
        <v>2401778346.399073</v>
      </c>
      <c r="C10" s="18">
        <f>C6*Assumptions!B9</f>
        <v>2754103266.4304504</v>
      </c>
      <c r="D10" s="18">
        <f>D6*Assumptions!B9</f>
        <v>3116217402.7058125</v>
      </c>
      <c r="E10" s="18">
        <f>E6*Assumptions!B9</f>
        <v>3478540047.2846923</v>
      </c>
      <c r="F10" s="18">
        <f>F6*Assumptions!B9</f>
        <v>3830075550.771786</v>
      </c>
      <c r="G10" s="18">
        <f>G6*Assumptions!B9</f>
        <v>4158874808.534409</v>
      </c>
      <c r="H10" s="18">
        <f>H6*Assumptions!B9</f>
        <v>4452636962.109074</v>
      </c>
      <c r="I10" s="18">
        <f>I6*Assumptions!B9</f>
        <v>4699416967.137026</v>
      </c>
      <c r="J10" s="18">
        <f>J6*Assumptions!B9</f>
        <v>4888388367.602082</v>
      </c>
      <c r="K10" s="18">
        <f>K6*Assumptions!B9</f>
        <v>5010598076.792133</v>
      </c>
    </row>
    <row r="11" spans="1:11" x14ac:dyDescent="0.25">
      <c r="A11" t="s">
        <v>54</v>
      </c>
      <c r="B11" s="18">
        <f>-B6*B19</f>
        <v>-3435645814.8195276</v>
      </c>
      <c r="C11" s="18">
        <f>-C6*C19</f>
        <v>-3944988280.950016</v>
      </c>
      <c r="D11" s="18">
        <f>-D6*D19</f>
        <v>-4469742268.637978</v>
      </c>
      <c r="E11" s="18">
        <f>-E6*E19</f>
        <v>-4996204183.02836</v>
      </c>
      <c r="F11" s="18">
        <f>-F6*F19</f>
        <v>-5508560877.873647</v>
      </c>
      <c r="G11" s="18">
        <f>-G6*G19</f>
        <v>-5989540521.525705</v>
      </c>
      <c r="H11" s="18">
        <f>-H6*H19</f>
        <v>-6421271056.004184</v>
      </c>
      <c r="I11" s="18">
        <f>-I6*I19</f>
        <v>-6786298555.978466</v>
      </c>
      <c r="J11" s="18">
        <f>-J6*J19</f>
        <v>-7068693673.296263</v>
      </c>
      <c r="K11" s="18">
        <f>-K6*K19</f>
        <v>-7255155408.01282</v>
      </c>
    </row>
    <row r="12" spans="1:11" x14ac:dyDescent="0.25">
      <c r="A12" t="s">
        <v>55</v>
      </c>
      <c r="B12" s="18">
        <f>-(B6-Assumptions!B29)*Assumptions!B11</f>
        <v>1115194.0485554768</v>
      </c>
      <c r="C12" s="18">
        <f>-(C6-B6)*Assumptions!B11</f>
        <v>5676104.560519416</v>
      </c>
      <c r="D12" s="18">
        <f>-(D6-C6)*Assumptions!B11</f>
        <v>5833813.004649464</v>
      </c>
      <c r="E12" s="18">
        <f>-(E6-D6)*Assumptions!B11</f>
        <v>5837172.16224865</v>
      </c>
      <c r="F12" s="18">
        <f>-(F6-E6)*Assumptions!B11</f>
        <v>5663386.723680743</v>
      </c>
      <c r="G12" s="18">
        <f>-(G6-F6)*Assumptions!B11</f>
        <v>5297096.118876894</v>
      </c>
      <c r="H12" s="18">
        <f>-(H6-G6)*Assumptions!B11</f>
        <v>4732633.443767363</v>
      </c>
      <c r="I12" s="18">
        <f>-(I6-H6)*Assumptions!B11</f>
        <v>3975731.015164691</v>
      </c>
      <c r="J12" s="18">
        <f>-(J6-I6)*Assumptions!B11</f>
        <v>3044409.7678129603</v>
      </c>
      <c r="K12" s="18">
        <f>-(K6-J6)*Assumptions!B11</f>
        <v>1968850.4793008266</v>
      </c>
    </row>
    <row r="13" spans="1:11" x14ac:dyDescent="0.25">
      <c r="A13" s="19" t="s">
        <v>56</v>
      </c>
      <c r="B13" s="20">
        <f>B9+B10+B11+B12</f>
        <v>2239122736.8918924</v>
      </c>
      <c r="C13" s="20">
        <f>C9+C10+C11+C12</f>
        <v>2566628418.986761</v>
      </c>
      <c r="D13" s="20">
        <f>D9+D10+D11+D12</f>
        <v>2897444167.341635</v>
      </c>
      <c r="E13" s="20">
        <f>E9+E10+E11+E12</f>
        <v>3226890193.001713</v>
      </c>
      <c r="F13" s="20">
        <f>F9+F10+F11+F12</f>
        <v>3544782133.957332</v>
      </c>
      <c r="G13" s="20">
        <f>G9+G10+G11+G12</f>
        <v>3840149427.879436</v>
      </c>
      <c r="H13" s="20">
        <f>H9+H10+H11+H12</f>
        <v>4101800494.26748</v>
      </c>
      <c r="I13" s="20">
        <f>I9+I10+I11+I12</f>
        <v>4318977548.832555</v>
      </c>
      <c r="J13" s="20">
        <f>J9+J10+J11+J12</f>
        <v>4482052928.46944</v>
      </c>
      <c r="K13" s="20">
        <f>K9+K10+K11+K12</f>
        <v>4583208189.264317</v>
      </c>
    </row>
    <row r="14" spans="1:11" x14ac:dyDescent="0.25">
      <c r="A14" t="s">
        <v>57</v>
      </c>
      <c r="B14" s="21">
        <f>1/(1+Assumptions!$B$26)^(1-0.5*Assumptions!$B$32)</f>
        <v>0.9654304902021502</v>
      </c>
      <c r="C14" s="21">
        <f>1/(1+Assumptions!$B$26)^(2-0.5*Assumptions!$B$32)</f>
        <v>0.8998353113019234</v>
      </c>
      <c r="D14" s="21">
        <f>1/(1+Assumptions!$B$26)^(3-0.5*Assumptions!$B$32)</f>
        <v>0.8386969291764202</v>
      </c>
      <c r="E14" s="21">
        <f>1/(1+Assumptions!$B$26)^(4-0.5*Assumptions!$B$32)</f>
        <v>0.7817125313655755</v>
      </c>
      <c r="F14" s="21">
        <f>1/(1+Assumptions!$B$26)^(5-0.5*Assumptions!$B$32)</f>
        <v>0.7285998796895989</v>
      </c>
      <c r="G14" s="21">
        <f>1/(1+Assumptions!$B$26)^(6-0.5*Assumptions!$B$32)</f>
        <v>0.6790959123507222</v>
      </c>
      <c r="H14" s="21">
        <f>1/(1+Assumptions!$B$26)^(7-0.5*Assumptions!$B$32)</f>
        <v>0.6329554410137013</v>
      </c>
      <c r="I14" s="21">
        <f>1/(1+Assumptions!$B$26)^(8-0.5*Assumptions!$B$32)</f>
        <v>0.58994993641184</v>
      </c>
      <c r="J14" s="21">
        <f>1/(1+Assumptions!$B$26)^(9-0.5*Assumptions!$B$32)</f>
        <v>0.5498663964637602</v>
      </c>
      <c r="K14" s="21">
        <f>1/(1+Assumptions!$B$26)^(10-0.5*Assumptions!$B$32)</f>
        <v>0.5125062912948102</v>
      </c>
    </row>
    <row r="15" spans="1:11" x14ac:dyDescent="0.25">
      <c r="A15" s="19" t="s">
        <v>58</v>
      </c>
      <c r="B15" s="20">
        <f>B13*B14</f>
        <v>2161717361.50032</v>
      </c>
      <c r="C15" s="20">
        <f>C13*C14</f>
        <v>2309542882.3953156</v>
      </c>
      <c r="D15" s="20">
        <f>D13*D14</f>
        <v>2430077525.6095595</v>
      </c>
      <c r="E15" s="20">
        <f>E13*E14</f>
        <v>2522500501.2101192</v>
      </c>
      <c r="F15" s="20">
        <f>F13*F14</f>
        <v>2582727836.327152</v>
      </c>
      <c r="G15" s="20">
        <f>G13*G14</f>
        <v>2607829779.2888894</v>
      </c>
      <c r="H15" s="20">
        <f>H13*H14</f>
        <v>2596256940.7992907</v>
      </c>
      <c r="I15" s="20">
        <f>I13*I14</f>
        <v>2547980530.2979302</v>
      </c>
      <c r="J15" s="20">
        <f>J13*J14</f>
        <v>2464530292.537335</v>
      </c>
      <c r="K15" s="20">
        <f>K13*K14</f>
        <v>2348923031.311857</v>
      </c>
    </row>
    <row r="17" spans="1:2" x14ac:dyDescent="0.25">
      <c r="A17" s="22" t="s">
        <v>59</v>
      </c>
      <c r="B17" s="23">
        <f>SUM(B15:K15)</f>
        <v>24572086681.27777</v>
      </c>
    </row>
    <row r="19" spans="1:11" x14ac:dyDescent="0.25">
      <c r="A19" t="s">
        <v>7</v>
      </c>
      <c r="B19" s="9">
        <f>Assumptions!$B$10+($B$20-Assumptions!$B$10)*0/9</f>
        <v>0.27921562650648507</v>
      </c>
      <c r="C19" s="9">
        <f>Assumptions!$B$10+($B$20-Assumptions!$B$10)*1/9</f>
        <v>0.2795952293687338</v>
      </c>
      <c r="D19" s="9">
        <f>Assumptions!$B$10+($B$20-Assumptions!$B$10)*2/9</f>
        <v>0.2799748322309826</v>
      </c>
      <c r="E19" s="9">
        <f>Assumptions!$B$10+($B$20-Assumptions!$B$10)*3/9</f>
        <v>0.2803544350932313</v>
      </c>
      <c r="F19" s="9">
        <f>Assumptions!$B$10+($B$20-Assumptions!$B$10)*4/9</f>
        <v>0.2807340379554801</v>
      </c>
      <c r="G19" s="9">
        <f>Assumptions!$B$10+($B$20-Assumptions!$B$10)*5/9</f>
        <v>0.2811136408177288</v>
      </c>
      <c r="H19" s="9">
        <f>Assumptions!$B$10+($B$20-Assumptions!$B$10)*6/9</f>
        <v>0.2814932436799776</v>
      </c>
      <c r="I19" s="9">
        <f>Assumptions!$B$10+($B$20-Assumptions!$B$10)*7/9</f>
        <v>0.28187284654222633</v>
      </c>
      <c r="J19" s="9">
        <f>Assumptions!$B$10+($B$20-Assumptions!$B$10)*8/9</f>
        <v>0.2822524494044751</v>
      </c>
      <c r="K19" s="9">
        <f>Assumptions!$B$10+($B$20-Assumptions!$B$10)*9/9</f>
        <v>0.28263205226672383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0.28263205226672383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4583208189.264317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6825796670.005703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0.32883448478385635</v>
      </c>
    </row>
    <row r="7" spans="1:2" x14ac:dyDescent="0.25">
      <c r="A7" t="s">
        <v>66</v>
      </c>
      <c r="B7" s="18">
        <f>-MAX(B5,0)*B6</f>
        <v>-2244557331.220688</v>
      </c>
    </row>
    <row r="8" spans="1:2" x14ac:dyDescent="0.25">
      <c r="A8" t="s">
        <v>67</v>
      </c>
      <c r="B8" s="18">
        <f>IF(OR(Assumptions!$B$33=0,Assumptions!B12&lt;=0),B5,MAX(B5+B7,0))</f>
        <v>4581239338.785015</v>
      </c>
    </row>
    <row r="9" spans="1:2" x14ac:dyDescent="0.25">
      <c r="A9" t="s">
        <v>68</v>
      </c>
      <c r="B9" s="18">
        <f>B8*(1+Assumptions!B12)/(Assumptions!B26-Assumptions!B12)</f>
        <v>98039186955.425</v>
      </c>
    </row>
    <row r="10" spans="1:2" x14ac:dyDescent="0.25">
      <c r="A10" t="s">
        <v>69</v>
      </c>
      <c r="B10" s="18">
        <f>B9/(1+Assumptions!B26)^(10-0.5*Assumptions!B32)</f>
        <v>50245700108.083405</v>
      </c>
    </row>
    <row r="11" spans="1:2" x14ac:dyDescent="0.25">
      <c r="A11" t="s">
        <v>70</v>
      </c>
      <c r="B11" s="18">
        <f>Forecast!B17+B10</f>
        <v>74817786789.36118</v>
      </c>
    </row>
    <row r="12" spans="1:2" x14ac:dyDescent="0.25">
      <c r="A12" t="s">
        <v>71</v>
      </c>
      <c r="B12" s="18">
        <f>-Assumptions!B30</f>
        <v>-29330000000</v>
      </c>
    </row>
    <row r="13" spans="1:2" x14ac:dyDescent="0.25">
      <c r="A13" t="s">
        <v>72</v>
      </c>
      <c r="B13" s="18">
        <f>B11+B12</f>
        <v>45487786789.361176</v>
      </c>
    </row>
    <row r="14" spans="1:2" x14ac:dyDescent="0.25">
      <c r="A14" s="19" t="s">
        <v>73</v>
      </c>
      <c r="B14" s="24">
        <f>B13/Assumptions!B31</f>
        <v>37.13288717498872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13650847026.166441</v>
      </c>
    </row>
    <row r="18" spans="1:2" x14ac:dyDescent="0.25">
      <c r="A18" t="s">
        <v>68</v>
      </c>
      <c r="B18" s="18">
        <f>B17*Assumptions!B13</f>
        <v>243052785590.34857</v>
      </c>
    </row>
    <row r="19" spans="1:2" x14ac:dyDescent="0.25">
      <c r="A19" t="s">
        <v>69</v>
      </c>
      <c r="B19" s="18">
        <f>B18/(1+Assumptions!B26)^(10-0.5*Assumptions!B32)</f>
        <v>124566081731.78223</v>
      </c>
    </row>
    <row r="20" spans="1:2" x14ac:dyDescent="0.25">
      <c r="A20" t="s">
        <v>70</v>
      </c>
      <c r="B20" s="18">
        <f>Forecast!B17+B19</f>
        <v>149138168413.06</v>
      </c>
    </row>
    <row r="21" spans="1:2" x14ac:dyDescent="0.25">
      <c r="A21" t="s">
        <v>71</v>
      </c>
      <c r="B21" s="18">
        <f>-Assumptions!B30</f>
        <v>-29330000000</v>
      </c>
    </row>
    <row r="22" spans="1:2" x14ac:dyDescent="0.25">
      <c r="A22" t="s">
        <v>72</v>
      </c>
      <c r="B22" s="18">
        <f>B20+B21</f>
        <v>119808168413.06</v>
      </c>
    </row>
    <row r="23" spans="1:2" x14ac:dyDescent="0.25">
      <c r="A23" s="19" t="s">
        <v>73</v>
      </c>
      <c r="B23" s="25">
        <f>B22/Assumptions!B31</f>
        <v>97.80258645964082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74.35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37.13288717498872</v>
      </c>
    </row>
    <row r="29" spans="1:2" x14ac:dyDescent="0.25">
      <c r="A29" s="19" t="s">
        <v>81</v>
      </c>
      <c r="B29" s="11">
        <f>B28/B26-1</f>
        <v>-0.5005664132483023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0.052897</v>
      </c>
      <c r="B5" s="31">
        <v>73.82493067417708</v>
      </c>
      <c r="C5" s="31">
        <v>77.30767975615761</v>
      </c>
      <c r="D5" s="31">
        <v>82.36290644260926</v>
      </c>
      <c r="E5" s="31">
        <v>90.02075285114876</v>
      </c>
      <c r="F5" s="31">
        <v>102.46255081567642</v>
      </c>
    </row>
    <row r="6" spans="1:6" x14ac:dyDescent="0.25">
      <c r="A6" s="30">
        <v>0.062897</v>
      </c>
      <c r="B6" s="31">
        <v>52.3103210349006</v>
      </c>
      <c r="C6" s="31">
        <v>52.85231607676553</v>
      </c>
      <c r="D6" s="31">
        <v>53.762223256236524</v>
      </c>
      <c r="E6" s="31">
        <v>55.20779896642223</v>
      </c>
      <c r="F6" s="31">
        <v>57.47706801144915</v>
      </c>
    </row>
    <row r="7" spans="1:6" x14ac:dyDescent="0.25">
      <c r="A7" s="30">
        <v>0.072897</v>
      </c>
      <c r="B7" s="31">
        <v>38.28644999462517</v>
      </c>
      <c r="C7" s="31">
        <v>37.6880921625032</v>
      </c>
      <c r="D7" s="32">
        <v>37.1327180434869</v>
      </c>
      <c r="E7" s="31">
        <v>36.63535795896445</v>
      </c>
      <c r="F7" s="31">
        <v>36.21897442621697</v>
      </c>
    </row>
    <row r="8" spans="1:6" x14ac:dyDescent="0.25">
      <c r="A8" s="30">
        <v>0.082897</v>
      </c>
      <c r="B8" s="31">
        <v>29.31085995659376</v>
      </c>
      <c r="C8" s="31">
        <v>28.614259011231752</v>
      </c>
      <c r="D8" s="31">
        <v>27.917658065869734</v>
      </c>
      <c r="E8" s="31">
        <v>27.221057120507727</v>
      </c>
      <c r="F8" s="31">
        <v>26.5244561751457</v>
      </c>
    </row>
    <row r="9" spans="1:6" x14ac:dyDescent="0.25">
      <c r="A9" s="30">
        <v>0.092897</v>
      </c>
      <c r="B9" s="31">
        <v>22.755049026437614</v>
      </c>
      <c r="C9" s="31">
        <v>22.16747048427485</v>
      </c>
      <c r="D9" s="31">
        <v>21.579891942112077</v>
      </c>
      <c r="E9" s="31">
        <v>20.992313399949303</v>
      </c>
      <c r="F9" s="31">
        <v>20.404734857786554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11950000000</v>
      </c>
      <c r="C5" s="18">
        <v>10503000000</v>
      </c>
      <c r="D5" s="18">
        <v>10907000000</v>
      </c>
      <c r="E5" s="18">
        <v>10965000000</v>
      </c>
      <c r="F5" s="6" t="s">
        <v>91</v>
      </c>
    </row>
    <row r="6" spans="1:6" x14ac:dyDescent="0.25">
      <c r="A6" t="s">
        <v>51</v>
      </c>
      <c r="B6" s="18">
        <v>4408000000</v>
      </c>
      <c r="C6" s="18">
        <v>3339000000</v>
      </c>
      <c r="D6" s="18">
        <v>4192000000</v>
      </c>
      <c r="E6" s="18">
        <v>3018000000</v>
      </c>
      <c r="F6" s="6" t="s">
        <v>92</v>
      </c>
    </row>
    <row r="7" spans="1:6" x14ac:dyDescent="0.25">
      <c r="A7" t="s">
        <v>93</v>
      </c>
      <c r="B7" s="18">
        <v>2347000000</v>
      </c>
      <c r="C7" s="18">
        <v>2219000000</v>
      </c>
      <c r="D7" s="18">
        <v>2071000000</v>
      </c>
      <c r="E7" s="18">
        <v>2009000000</v>
      </c>
      <c r="F7" s="6" t="s">
        <v>94</v>
      </c>
    </row>
    <row r="8" spans="1:6" x14ac:dyDescent="0.25">
      <c r="A8" t="s">
        <v>95</v>
      </c>
      <c r="B8" s="18">
        <v>4999000000</v>
      </c>
      <c r="C8" s="18">
        <v>2678000000</v>
      </c>
      <c r="D8" s="18">
        <v>2567000000</v>
      </c>
      <c r="E8" s="18">
        <v>2283000000</v>
      </c>
      <c r="F8" s="6" t="s">
        <v>96</v>
      </c>
    </row>
    <row r="9" spans="1:6" x14ac:dyDescent="0.25">
      <c r="A9" t="s">
        <v>97</v>
      </c>
      <c r="B9" s="18">
        <v>164000000</v>
      </c>
      <c r="C9" s="18">
        <v>526000000</v>
      </c>
      <c r="D9" s="18">
        <v>-108000000</v>
      </c>
      <c r="E9" s="18">
        <v>379000000</v>
      </c>
      <c r="F9" s="6" t="s">
        <v>98</v>
      </c>
    </row>
    <row r="10" spans="1:6" x14ac:dyDescent="0.25">
      <c r="A10" t="s">
        <v>99</v>
      </c>
      <c r="B10" s="18">
        <v>29393000000</v>
      </c>
      <c r="C10" s="18">
        <v>26937000000</v>
      </c>
      <c r="D10" s="18">
        <v>26462000000</v>
      </c>
      <c r="E10" s="18">
        <v>22929000000</v>
      </c>
      <c r="F10" s="6" t="s">
        <v>100</v>
      </c>
    </row>
    <row r="11" spans="1:6" x14ac:dyDescent="0.25">
      <c r="A11" t="s">
        <v>101</v>
      </c>
      <c r="B11" s="18">
        <v>63000000</v>
      </c>
      <c r="C11" s="18">
        <v>60000000</v>
      </c>
      <c r="D11" s="18">
        <v>2150000000</v>
      </c>
      <c r="E11" s="18">
        <v>152000000</v>
      </c>
      <c r="F11" s="6" t="s">
        <v>102</v>
      </c>
    </row>
    <row r="12" spans="1:6" x14ac:dyDescent="0.25">
      <c r="A12" t="s">
        <v>34</v>
      </c>
      <c r="B12" s="34">
        <v>1225000000</v>
      </c>
      <c r="C12" s="34">
        <v>1222954000</v>
      </c>
      <c r="D12" s="34">
        <v>1222715000</v>
      </c>
      <c r="E12" s="34">
        <v>1222672000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