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<sst xmlns="http://schemas.openxmlformats.org/spreadsheetml/2006/main" count="121" uniqueCount="108">
  <si>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Walmart Inc. (WMT)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</si>
  <si>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</si>
  <si>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</si>
  <si>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</si>
  <si>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</si>
  <si>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</si>
  <si>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</si>
  <si>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</si>
  <si>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</si>
  <si>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</si>
  <si>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</si>
  <si>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</si>
  <si>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</si>
  <si>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</si>
  <si>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</si>
  <si>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</si>
  <si>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</si>
  <si>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</si>
  <si>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</si>
  <si>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</si>
  <si>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</si>
  <si>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</si>
  <si>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</si>
  <si>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</si>
  <si>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10.7x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</si>
  <si>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</si>
  <si>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</si>
  <si>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</si>
  <si>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</si>
  <si>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</si>
  <si>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</si>
  <si>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</si>
  <si>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</si>
  <si>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</si>
  <si>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</si>
  <si>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</si>
  <si>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</si>
  <si>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</si>
  <si>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</si>
  <si>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</si>
  <si>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</si>
  <si>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</si>
  <si>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</si>
  <si>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</si>
  <si>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</si>
  <si>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</si>
  <si>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</si>
  <si>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</si>
  <si>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</si>
  <si>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</si>
  <si>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</si>
  <si>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</si>
  <si>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</si>
  <si>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</si>
  <si>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</si>
  <si>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</si>
  <si>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</si>
  <si>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</si>
  <si>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</si>
  <si>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</si>
  <si>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</si>
  <si>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</si>
  <si>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</si>
  <si>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</si>
  <si>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</si>
  <si>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</si>
  <si>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</si>
  <si>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</si>
  <si>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</si>
  <si>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</si>
  <si>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</si>
  <si>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</si>
  <si>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</si>
  <si>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</si>
  <si>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</si>
  <si>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</si>
  <si>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</si>
  <si>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</si>
  <si>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</si>
  <si>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</si>
  <si>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</si>
  <si>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</si>
  <si>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</si>
  <si>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</si>
  <si>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</si>
  <si>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</si>
  <si>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</si>
  <si>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</si>
  <si>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</si>
  <si>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</si>
  <si>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</si>
  <si>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</si>
  <si>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</si>
  <si>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</si>
  <si>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</si>
  <si>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</si>
  <si>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</si>
  <si>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</si>
  <si>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</si>
  <si>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</si>
  <si>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</si>
  <si>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</si>
  <si>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</si>
  <si>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</si>
  <si>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</si>
  <si>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3.3% of revenue against depreciation of 1.9%.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</si>
  <si>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23.6x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</si>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</sst>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0.055660795175857425</v>
      </c>
    </row>
    <row r="7" spans="1:2" x14ac:dyDescent="0.25">
      <c r="A7" t="s">
        <v>4</v>
      </c>
      <c r="B7" s="5">
        <v>0.040003046321653045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0.01878969407967112</v>
      </c>
    </row>
    <row r="10" spans="1:3" x14ac:dyDescent="0.25">
      <c r="A10" t="s">
        <v>7</v>
      </c>
      <c r="B10" s="5">
        <v>0.032912833480089845</v>
      </c>
      <c r="C10" s="6" t="s">
        <v>8</v>
      </c>
    </row>
    <row r="11" spans="1:2" x14ac:dyDescent="0.25">
      <c r="A11" t="s">
        <v>9</v>
      </c>
      <c r="B11" s="5">
        <v>0.010990413785227676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0.16742306118651687</v>
      </c>
      <c r="C14" s="6" t="s">
        <v>13</v>
      </c>
    </row>
    <row r="15" spans="1:3" x14ac:dyDescent="0.25">
      <c r="A15" t="s">
        <v>14</v>
      </c>
      <c r="B15" s="5">
        <v>0.01878969407967112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0.71726</v>
      </c>
      <c r="C19" s="6" t="s">
        <v>21</v>
      </c>
    </row>
    <row r="20" spans="1:2" x14ac:dyDescent="0.25">
      <c r="A20" t="s">
        <v>22</v>
      </c>
      <c r="B20" s="9">
        <f>B17+B19*B18</f>
        <v>0.07928009800000001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982902374400</v>
      </c>
    </row>
    <row r="23" spans="1:2" x14ac:dyDescent="0.25">
      <c r="A23" t="s">
        <v>26</v>
      </c>
      <c r="B23" s="10">
        <v>67095000000</v>
      </c>
    </row>
    <row r="24" spans="1:2" x14ac:dyDescent="0.25">
      <c r="A24" t="s">
        <v>27</v>
      </c>
      <c r="B24" s="9">
        <f>B22/(B22+B23)</f>
        <v>0.9360998402130861</v>
      </c>
    </row>
    <row r="25" spans="1:2" x14ac:dyDescent="0.25">
      <c r="A25" t="s">
        <v>28</v>
      </c>
      <c r="B25" s="9">
        <f>1-B24</f>
        <v>0.06390015978691388</v>
      </c>
    </row>
    <row r="26" spans="1:2" x14ac:dyDescent="0.25">
      <c r="A26" t="s">
        <v>29</v>
      </c>
      <c r="B26" s="11">
        <f>B24*B20+B25*B21*(1-B8)</f>
        <v>0.07688655789258199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713163000000</v>
      </c>
      <c r="C29" s="6" t="s">
        <v>32</v>
      </c>
    </row>
    <row r="30" spans="1:2" x14ac:dyDescent="0.25">
      <c r="A30" t="s">
        <v>33</v>
      </c>
      <c r="B30" s="10">
        <v>56368000000</v>
      </c>
    </row>
    <row r="31" spans="1:2" x14ac:dyDescent="0.25">
      <c r="A31" t="s">
        <v>34</v>
      </c>
      <c r="B31" s="12">
        <v>8022000000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0.055660795175857425</v>
      </c>
      <c r="C5" s="5">
        <v>0.0434493920971446</v>
      </c>
      <c r="D5" s="5">
        <v>0.04114321808500153</v>
      </c>
      <c r="E5" s="5">
        <v>0.03883704407285845</v>
      </c>
      <c r="F5" s="5">
        <v>0.03653087006071538</v>
      </c>
      <c r="G5" s="5">
        <v>0.0342246960485723</v>
      </c>
      <c r="H5" s="5">
        <v>0.031918522036429225</v>
      </c>
      <c r="I5" s="5">
        <v>0.029612348024286153</v>
      </c>
      <c r="J5" s="5">
        <v>0.027306174012143077</v>
      </c>
      <c r="K5" s="5">
        <v>0.025</v>
      </c>
    </row>
    <row r="6" spans="1:11" x14ac:dyDescent="0.25">
      <c r="A6" t="s">
        <v>50</v>
      </c>
      <c r="B6" s="18">
        <f>Assumptions!B29*(1+B5)</f>
        <v>752858219670</v>
      </c>
      <c r="C6" s="18">
        <f>B6*(1+C5)</f>
        <v>785569451650</v>
      </c>
      <c r="D6" s="18">
        <f>C6*(1+D5)</f>
        <v>817890306920.151</v>
      </c>
      <c r="E6" s="18">
        <f>D6*(1+E5)</f>
        <v>849654748816.7727</v>
      </c>
      <c r="F6" s="18">
        <f>E6*(1+F5)</f>
        <v>880693376042.2681</v>
      </c>
      <c r="G6" s="18">
        <f>F6*(1+G5)</f>
        <v>910834839149.3058</v>
      </c>
      <c r="H6" s="18">
        <f>G6*(1+H5)</f>
        <v>939907341034.2405</v>
      </c>
      <c r="I6" s="18">
        <f>H6*(1+I5)</f>
        <v>967740204327.528</v>
      </c>
      <c r="J6" s="18">
        <f>I6*(1+J5)</f>
        <v>994165486745.4423</v>
      </c>
      <c r="K6" s="18">
        <f>J6*(1+K5)</f>
        <v>1019019623914.0782</v>
      </c>
    </row>
    <row r="7" spans="1:11" x14ac:dyDescent="0.25">
      <c r="A7" t="s">
        <v>4</v>
      </c>
      <c r="B7" s="9">
        <f>Assumptions!B7</f>
        <v>0.040003046321653045</v>
      </c>
      <c r="C7" s="9">
        <f>Assumptions!B7</f>
        <v>0.040003046321653045</v>
      </c>
      <c r="D7" s="9">
        <f>Assumptions!B7</f>
        <v>0.040003046321653045</v>
      </c>
      <c r="E7" s="9">
        <f>Assumptions!B7</f>
        <v>0.040003046321653045</v>
      </c>
      <c r="F7" s="9">
        <f>Assumptions!B7</f>
        <v>0.040003046321653045</v>
      </c>
      <c r="G7" s="9">
        <f>Assumptions!B7</f>
        <v>0.040003046321653045</v>
      </c>
      <c r="H7" s="9">
        <f>Assumptions!B7</f>
        <v>0.040003046321653045</v>
      </c>
      <c r="I7" s="9">
        <f>Assumptions!B7</f>
        <v>0.040003046321653045</v>
      </c>
      <c r="J7" s="9">
        <f>Assumptions!B7</f>
        <v>0.040003046321653045</v>
      </c>
      <c r="K7" s="9">
        <f>Assumptions!B7</f>
        <v>0.040003046321653045</v>
      </c>
    </row>
    <row r="8" spans="1:11" x14ac:dyDescent="0.25">
      <c r="A8" t="s">
        <v>51</v>
      </c>
      <c r="B8" s="18">
        <f>B6*B7</f>
        <v>30116622235.096252</v>
      </c>
      <c r="C8" s="18">
        <f>C6*C7</f>
        <v>31425171163.230534</v>
      </c>
      <c r="D8" s="18">
        <f>D6*D7</f>
        <v>32718103833.757828</v>
      </c>
      <c r="E8" s="18">
        <f>E6*E7</f>
        <v>33988778274.32984</v>
      </c>
      <c r="F8" s="18">
        <f>F6*F7</f>
        <v>35230417916.99185</v>
      </c>
      <c r="G8" s="18">
        <f>G6*G7</f>
        <v>36436168261.86508</v>
      </c>
      <c r="H8" s="18">
        <f>H6*H7</f>
        <v>37599156901.45447</v>
      </c>
      <c r="I8" s="18">
        <f>I6*I7</f>
        <v>38712556221.040085</v>
      </c>
      <c r="J8" s="18">
        <f>J6*J7</f>
        <v>39769648017.66667</v>
      </c>
      <c r="K8" s="18">
        <f>K6*K7</f>
        <v>40763889218.10834</v>
      </c>
    </row>
    <row r="9" spans="1:11" x14ac:dyDescent="0.25">
      <c r="A9" t="s">
        <v>52</v>
      </c>
      <c r="B9" s="18">
        <f>B8*(1-Assumptions!B8)</f>
        <v>23792131565.72604</v>
      </c>
      <c r="C9" s="18">
        <f>C8*(1-Assumptions!B8)</f>
        <v>24825885218.95212</v>
      </c>
      <c r="D9" s="18">
        <f>D8*(1-Assumptions!B8)</f>
        <v>25847302028.668686</v>
      </c>
      <c r="E9" s="18">
        <f>E8*(1-Assumptions!B8)</f>
        <v>26851134836.720577</v>
      </c>
      <c r="F9" s="18">
        <f>F8*(1-Assumptions!B8)</f>
        <v>27832030154.423565</v>
      </c>
      <c r="G9" s="18">
        <f>G8*(1-Assumptions!B8)</f>
        <v>28784572926.873417</v>
      </c>
      <c r="H9" s="18">
        <f>H8*(1-Assumptions!B8)</f>
        <v>29703333952.149033</v>
      </c>
      <c r="I9" s="18">
        <f>I8*(1-Assumptions!B8)</f>
        <v>30582919414.62167</v>
      </c>
      <c r="J9" s="18">
        <f>J8*(1-Assumptions!B8)</f>
        <v>31418021933.956673</v>
      </c>
      <c r="K9" s="18">
        <f>K8*(1-Assumptions!B8)</f>
        <v>32203472482.305588</v>
      </c>
    </row>
    <row r="10" spans="1:11" x14ac:dyDescent="0.25">
      <c r="A10" t="s">
        <v>53</v>
      </c>
      <c r="B10" s="18">
        <f>B6*Assumptions!B9</f>
        <v>14145975632.965137</v>
      </c>
      <c r="C10" s="18">
        <f>C6*Assumptions!B9</f>
        <v>14760609674.838493</v>
      </c>
      <c r="D10" s="18">
        <f>D6*Assumptions!B9</f>
        <v>15367908657.757956</v>
      </c>
      <c r="E10" s="18">
        <f>E6*Assumptions!B9</f>
        <v>15964752803.606966</v>
      </c>
      <c r="F10" s="18">
        <f>F6*Assumptions!B9</f>
        <v>16547959113.826975</v>
      </c>
      <c r="G10" s="18">
        <f>G6*Assumptions!B9</f>
        <v>17114307984.721907</v>
      </c>
      <c r="H10" s="18">
        <f>H6*Assumptions!B9</f>
        <v>17660571401.270493</v>
      </c>
      <c r="I10" s="18">
        <f>I6*Assumptions!B9</f>
        <v>18183542387.91267</v>
      </c>
      <c r="J10" s="18">
        <f>J6*Assumptions!B9</f>
        <v>18680065360.514194</v>
      </c>
      <c r="K10" s="18">
        <f>K6*Assumptions!B9</f>
        <v>19147066994.527046</v>
      </c>
    </row>
    <row r="11" spans="1:11" x14ac:dyDescent="0.25">
      <c r="A11" t="s">
        <v>54</v>
      </c>
      <c r="B11" s="18">
        <f>-B6*B19</f>
        <v>-24778697218.115612</v>
      </c>
      <c r="C11" s="18">
        <f>-C6*C19</f>
        <v>-25034466761.9533</v>
      </c>
      <c r="D11" s="18">
        <f>-D6*D19</f>
        <v>-25209843098.521626</v>
      </c>
      <c r="E11" s="18">
        <f>-E6*E19</f>
        <v>-25301105697.326138</v>
      </c>
      <c r="F11" s="18">
        <f>-F6*F19</f>
        <v>-25305131325.03101</v>
      </c>
      <c r="G11" s="18">
        <f>-G6*G19</f>
        <v>-25219450844.177876</v>
      </c>
      <c r="H11" s="18">
        <f>-H6*H19</f>
        <v>-25042299369.598503</v>
      </c>
      <c r="I11" s="18">
        <f>-I6*I19</f>
        <v>-24772658729.999313</v>
      </c>
      <c r="J11" s="18">
        <f>-J6*J19</f>
        <v>-24410291280.469666</v>
      </c>
      <c r="K11" s="18">
        <f>-K6*K19</f>
        <v>-23955764233.4381</v>
      </c>
    </row>
    <row r="12" spans="1:11" x14ac:dyDescent="0.25">
      <c r="A12" t="s">
        <v>55</v>
      </c>
      <c r="B12" s="18">
        <f>-(B6-Assumptions!B29)*Assumptions!B11</f>
        <v>-436266889.46880877</v>
      </c>
      <c r="C12" s="18">
        <f>-(C6-B6)*Assumptions!B11</f>
        <v>-359509974.8847724</v>
      </c>
      <c r="D12" s="18">
        <f>-(D6-C6)*Assumptions!B11</f>
        <v>-355219573.31141615</v>
      </c>
      <c r="E12" s="18">
        <f>-(E6-D6)*Assumptions!B11</f>
        <v>-349104360.1006947</v>
      </c>
      <c r="F12" s="18">
        <f>-(F6-E6)*Assumptions!B11</f>
        <v>-341127356.5336273</v>
      </c>
      <c r="G12" s="18">
        <f>-(G6-F6)*Assumptions!B11</f>
        <v>-331267151.63851875</v>
      </c>
      <c r="H12" s="18">
        <f>-(H6-G6)*Assumptions!B11</f>
        <v>-319518825.48724383</v>
      </c>
      <c r="I12" s="18">
        <f>-(I6-H6)*Assumptions!B11</f>
        <v>-305894684.42090404</v>
      </c>
      <c r="J12" s="18">
        <f>-(J6-I6)*Assumptions!B11</f>
        <v>-290424788.1643799</v>
      </c>
      <c r="K12" s="18">
        <f>-(K6-J6)*Assumptions!B11</f>
        <v>-273157251.7581165</v>
      </c>
    </row>
    <row r="13" spans="1:11" x14ac:dyDescent="0.25">
      <c r="A13" s="19" t="s">
        <v>56</v>
      </c>
      <c r="B13" s="20">
        <f>B9+B10+B11+B12</f>
        <v>12723143091.106756</v>
      </c>
      <c r="C13" s="20">
        <f>C9+C10+C11+C12</f>
        <v>14192518156.952545</v>
      </c>
      <c r="D13" s="20">
        <f>D9+D10+D11+D12</f>
        <v>15650148014.593601</v>
      </c>
      <c r="E13" s="20">
        <f>E9+E10+E11+E12</f>
        <v>17165677582.900713</v>
      </c>
      <c r="F13" s="20">
        <f>F9+F10+F11+F12</f>
        <v>18733730586.685905</v>
      </c>
      <c r="G13" s="20">
        <f>G9+G10+G11+G12</f>
        <v>20348162915.778927</v>
      </c>
      <c r="H13" s="20">
        <f>H9+H10+H11+H12</f>
        <v>22002087158.33378</v>
      </c>
      <c r="I13" s="20">
        <f>I9+I10+I11+I12</f>
        <v>23687908388.114124</v>
      </c>
      <c r="J13" s="20">
        <f>J9+J10+J11+J12</f>
        <v>25397371225.836826</v>
      </c>
      <c r="K13" s="20">
        <f>K9+K10+K11+K12</f>
        <v>27121617991.636417</v>
      </c>
    </row>
    <row r="14" spans="1:11" x14ac:dyDescent="0.25">
      <c r="A14" t="s">
        <v>57</v>
      </c>
      <c r="B14" s="21">
        <f>1/(1+Assumptions!$B$26)^(1-0.5*Assumptions!$B$32)</f>
        <v>0.9636404505763413</v>
      </c>
      <c r="C14" s="21">
        <f>1/(1+Assumptions!$B$26)^(2-0.5*Assumptions!$B$32)</f>
        <v>0.8948393342954729</v>
      </c>
      <c r="D14" s="21">
        <f>1/(1+Assumptions!$B$26)^(3-0.5*Assumptions!$B$32)</f>
        <v>0.8309504169562975</v>
      </c>
      <c r="E14" s="21">
        <f>1/(1+Assumptions!$B$26)^(4-0.5*Assumptions!$B$32)</f>
        <v>0.7716229818881106</v>
      </c>
      <c r="F14" s="21">
        <f>1/(1+Assumptions!$B$26)^(5-0.5*Assumptions!$B$32)</f>
        <v>0.7165313525671094</v>
      </c>
      <c r="G14" s="21">
        <f>1/(1+Assumptions!$B$26)^(6-0.5*Assumptions!$B$32)</f>
        <v>0.6653731048229712</v>
      </c>
      <c r="H14" s="21">
        <f>1/(1+Assumptions!$B$26)^(7-0.5*Assumptions!$B$32)</f>
        <v>0.6178674066886637</v>
      </c>
      <c r="I14" s="21">
        <f>1/(1+Assumptions!$B$26)^(8-0.5*Assumptions!$B$32)</f>
        <v>0.5737534767801376</v>
      </c>
      <c r="J14" s="21">
        <f>1/(1+Assumptions!$B$26)^(9-0.5*Assumptions!$B$32)</f>
        <v>0.5327891527432073</v>
      </c>
      <c r="K14" s="21">
        <f>1/(1+Assumptions!$B$26)^(10-0.5*Assumptions!$B$32)</f>
        <v>0.49474956190914987</v>
      </c>
    </row>
    <row r="15" spans="1:11" x14ac:dyDescent="0.25">
      <c r="A15" s="19" t="s">
        <v>58</v>
      </c>
      <c r="B15" s="20">
        <f>B13*B14</f>
        <v>12260535341.061378</v>
      </c>
      <c r="C15" s="20">
        <f>C13*C14</f>
        <v>12700023499.543827</v>
      </c>
      <c r="D15" s="20">
        <f>D13*D14</f>
        <v>13004497018.154324</v>
      </c>
      <c r="E15" s="20">
        <f>E13*E14</f>
        <v>13245431322.647743</v>
      </c>
      <c r="F15" s="20">
        <f>F13*F14</f>
        <v>13423305315.90588</v>
      </c>
      <c r="G15" s="20">
        <f>G13*G14</f>
        <v>13539120336.715467</v>
      </c>
      <c r="H15" s="20">
        <f>H13*H14</f>
        <v>13594372534.25764</v>
      </c>
      <c r="I15" s="20">
        <f>I13*I14</f>
        <v>13591019795.329863</v>
      </c>
      <c r="J15" s="20">
        <f>J13*J14</f>
        <v>13531443897.318314</v>
      </c>
      <c r="K15" s="20">
        <f>K13*K14</f>
        <v>13418408619.629435</v>
      </c>
    </row>
    <row r="17" spans="1:2" x14ac:dyDescent="0.25">
      <c r="A17" s="22" t="s">
        <v>59</v>
      </c>
      <c r="B17" s="23">
        <f>SUM(B15:K15)</f>
        <v>132308157680.56389</v>
      </c>
    </row>
    <row r="19" spans="1:11" x14ac:dyDescent="0.25">
      <c r="A19" t="s">
        <v>7</v>
      </c>
      <c r="B19" s="9">
        <f>Assumptions!$B$10+($B$20-Assumptions!$B$10)*0/9</f>
        <v>0.032912833480089845</v>
      </c>
      <c r="C19" s="9">
        <f>Assumptions!$B$10+($B$20-Assumptions!$B$10)*1/9</f>
        <v>0.03186792295623414</v>
      </c>
      <c r="D19" s="9">
        <f>Assumptions!$B$10+($B$20-Assumptions!$B$10)*2/9</f>
        <v>0.030823012432378432</v>
      </c>
      <c r="E19" s="9">
        <f>Assumptions!$B$10+($B$20-Assumptions!$B$10)*3/9</f>
        <v>0.029778101908522727</v>
      </c>
      <c r="F19" s="9">
        <f>Assumptions!$B$10+($B$20-Assumptions!$B$10)*4/9</f>
        <v>0.028733191384667022</v>
      </c>
      <c r="G19" s="9">
        <f>Assumptions!$B$10+($B$20-Assumptions!$B$10)*5/9</f>
        <v>0.027688280860811314</v>
      </c>
      <c r="H19" s="9">
        <f>Assumptions!$B$10+($B$20-Assumptions!$B$10)*6/9</f>
        <v>0.02664337033695561</v>
      </c>
      <c r="I19" s="9">
        <f>Assumptions!$B$10+($B$20-Assumptions!$B$10)*7/9</f>
        <v>0.025598459813099904</v>
      </c>
      <c r="J19" s="9">
        <f>Assumptions!$B$10+($B$20-Assumptions!$B$10)*8/9</f>
        <v>0.0245535492892442</v>
      </c>
      <c r="K19" s="9">
        <f>Assumptions!$B$10+($B$20-Assumptions!$B$10)*9/9</f>
        <v>0.02350863876538849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0.02350863876538849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27121617991.636417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32203472482.305588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0.14932232049053787</v>
      </c>
    </row>
    <row r="7" spans="1:2" x14ac:dyDescent="0.25">
      <c r="A7" t="s">
        <v>66</v>
      </c>
      <c r="B7" s="18">
        <f>-MAX(B5,0)*B6</f>
        <v>-4808697238.911052</v>
      </c>
    </row>
    <row r="8" spans="1:2" x14ac:dyDescent="0.25">
      <c r="A8" t="s">
        <v>67</v>
      </c>
      <c r="B8" s="18">
        <f>IF(OR(Assumptions!$B$33=0,Assumptions!B12&lt;=0),B5,MAX(B5+B7,0))</f>
        <v>27394775243.394535</v>
      </c>
    </row>
    <row r="9" spans="1:2" x14ac:dyDescent="0.25">
      <c r="A9" t="s">
        <v>68</v>
      </c>
      <c r="B9" s="18">
        <f>B8*(1+Assumptions!B12)/(Assumptions!B26-Assumptions!B12)</f>
        <v>541173779201.3725</v>
      </c>
    </row>
    <row r="10" spans="1:2" x14ac:dyDescent="0.25">
      <c r="A10" t="s">
        <v>69</v>
      </c>
      <c r="B10" s="18">
        <f>B9/(1+Assumptions!B26)^(10-0.5*Assumptions!B32)</f>
        <v>267745490176.59805</v>
      </c>
    </row>
    <row r="11" spans="1:2" x14ac:dyDescent="0.25">
      <c r="A11" t="s">
        <v>70</v>
      </c>
      <c r="B11" s="18">
        <f>Forecast!B17+B10</f>
        <v>400053647857.1619</v>
      </c>
    </row>
    <row r="12" spans="1:2" x14ac:dyDescent="0.25">
      <c r="A12" t="s">
        <v>71</v>
      </c>
      <c r="B12" s="18">
        <f>-Assumptions!B30</f>
        <v>-56368000000</v>
      </c>
    </row>
    <row r="13" spans="1:2" x14ac:dyDescent="0.25">
      <c r="A13" t="s">
        <v>72</v>
      </c>
      <c r="B13" s="18">
        <f>B11+B12</f>
        <v>343685647857.1619</v>
      </c>
    </row>
    <row r="14" spans="1:2" x14ac:dyDescent="0.25">
      <c r="A14" s="19" t="s">
        <v>73</v>
      </c>
      <c r="B14" s="24">
        <f>B13/Assumptions!B31</f>
        <v>42.84288804003514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59910956212.63538</v>
      </c>
    </row>
    <row r="18" spans="1:2" x14ac:dyDescent="0.25">
      <c r="A18" t="s">
        <v>68</v>
      </c>
      <c r="B18" s="18">
        <f>B17*Assumptions!B13</f>
        <v>1198219124252.7078</v>
      </c>
    </row>
    <row r="19" spans="1:2" x14ac:dyDescent="0.25">
      <c r="A19" t="s">
        <v>69</v>
      </c>
      <c r="B19" s="18">
        <f>B18/(1+Assumptions!B26)^(10-0.5*Assumptions!B32)</f>
        <v>592818386795.1924</v>
      </c>
    </row>
    <row r="20" spans="1:2" x14ac:dyDescent="0.25">
      <c r="A20" t="s">
        <v>70</v>
      </c>
      <c r="B20" s="18">
        <f>Forecast!B17+B19</f>
        <v>725126544475.7562</v>
      </c>
    </row>
    <row r="21" spans="1:2" x14ac:dyDescent="0.25">
      <c r="A21" t="s">
        <v>71</v>
      </c>
      <c r="B21" s="18">
        <f>-Assumptions!B30</f>
        <v>-56368000000</v>
      </c>
    </row>
    <row r="22" spans="1:2" x14ac:dyDescent="0.25">
      <c r="A22" t="s">
        <v>72</v>
      </c>
      <c r="B22" s="18">
        <f>B20+B21</f>
        <v>668758544475.7562</v>
      </c>
    </row>
    <row r="23" spans="1:2" x14ac:dyDescent="0.25">
      <c r="A23" s="19" t="s">
        <v>73</v>
      </c>
      <c r="B23" s="25">
        <f>B22/Assumptions!B31</f>
        <v>83.36556276187437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123.51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42.84288804003514</v>
      </c>
    </row>
    <row r="29" spans="1:2" x14ac:dyDescent="0.25">
      <c r="A29" s="19" t="s">
        <v>81</v>
      </c>
      <c r="B29" s="11">
        <f>B28/B26-1</f>
        <v>-0.6531221112457685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0.056887</v>
      </c>
      <c r="B5" s="31">
        <v>64.25792491033462</v>
      </c>
      <c r="C5" s="31">
        <v>69.30668809046038</v>
      </c>
      <c r="D5" s="31">
        <v>76.03607223635643</v>
      </c>
      <c r="E5" s="31">
        <v>85.38367970182031</v>
      </c>
      <c r="F5" s="31">
        <v>99.14387928081723</v>
      </c>
    </row>
    <row r="6" spans="1:6" x14ac:dyDescent="0.25">
      <c r="A6" s="30">
        <v>0.066887</v>
      </c>
      <c r="B6" s="31">
        <v>49.63718766873199</v>
      </c>
      <c r="C6" s="31">
        <v>52.20160969321577</v>
      </c>
      <c r="D6" s="31">
        <v>55.44821296478986</v>
      </c>
      <c r="E6" s="31">
        <v>59.65440466501841</v>
      </c>
      <c r="F6" s="31">
        <v>65.27158587991816</v>
      </c>
    </row>
    <row r="7" spans="1:6" x14ac:dyDescent="0.25">
      <c r="A7" s="30">
        <v>0.076887</v>
      </c>
      <c r="B7" s="31">
        <v>39.794670266268696</v>
      </c>
      <c r="C7" s="31">
        <v>41.1602662427104</v>
      </c>
      <c r="D7" s="32">
        <v>42.84243910604486</v>
      </c>
      <c r="E7" s="31">
        <v>44.94246753273662</v>
      </c>
      <c r="F7" s="31">
        <v>47.60998824659877</v>
      </c>
    </row>
    <row r="8" spans="1:6" x14ac:dyDescent="0.25">
      <c r="A8" s="30">
        <v>0.086887</v>
      </c>
      <c r="B8" s="31">
        <v>32.73276422097854</v>
      </c>
      <c r="C8" s="31">
        <v>33.459662195472305</v>
      </c>
      <c r="D8" s="31">
        <v>34.346371033538524</v>
      </c>
      <c r="E8" s="31">
        <v>35.435029764368174</v>
      </c>
      <c r="F8" s="31">
        <v>36.78402003252445</v>
      </c>
    </row>
    <row r="9" spans="1:6" x14ac:dyDescent="0.25">
      <c r="A9" s="30">
        <v>0.096887</v>
      </c>
      <c r="B9" s="31">
        <v>27.42992599169132</v>
      </c>
      <c r="C9" s="31">
        <v>27.793679558283962</v>
      </c>
      <c r="D9" s="31">
        <v>28.2425648983385</v>
      </c>
      <c r="E9" s="31">
        <v>28.795673563306337</v>
      </c>
      <c r="F9" s="31">
        <v>29.478266914599384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713163000000</v>
      </c>
      <c r="C5" s="18">
        <v>680985000000</v>
      </c>
      <c r="D5" s="18">
        <v>648125000000</v>
      </c>
      <c r="E5" s="18">
        <v>611289000000</v>
      </c>
      <c r="F5" s="6" t="s">
        <v>91</v>
      </c>
    </row>
    <row r="6" spans="1:6" x14ac:dyDescent="0.25">
      <c r="A6" t="s">
        <v>51</v>
      </c>
      <c r="B6" s="18">
        <v>29825000000</v>
      </c>
      <c r="C6" s="18">
        <v>29348000000</v>
      </c>
      <c r="D6" s="18">
        <v>27012000000</v>
      </c>
      <c r="E6" s="18">
        <v>20428000000</v>
      </c>
      <c r="F6" s="6" t="s">
        <v>92</v>
      </c>
    </row>
    <row r="7" spans="1:6" x14ac:dyDescent="0.25">
      <c r="A7" t="s">
        <v>93</v>
      </c>
      <c r="B7" s="18">
        <v>14203000000</v>
      </c>
      <c r="C7" s="18">
        <v>12973000000</v>
      </c>
      <c r="D7" s="18">
        <v>11853000000</v>
      </c>
      <c r="E7" s="18">
        <v>10945000000</v>
      </c>
      <c r="F7" s="6" t="s">
        <v>94</v>
      </c>
    </row>
    <row r="8" spans="1:6" x14ac:dyDescent="0.25">
      <c r="A8" t="s">
        <v>95</v>
      </c>
      <c r="B8" s="18">
        <v>26642000000</v>
      </c>
      <c r="C8" s="18">
        <v>23783000000</v>
      </c>
      <c r="D8" s="18">
        <v>20606000000</v>
      </c>
      <c r="E8" s="18">
        <v>16857000000</v>
      </c>
      <c r="F8" s="6" t="s">
        <v>96</v>
      </c>
    </row>
    <row r="9" spans="1:6" x14ac:dyDescent="0.25">
      <c r="A9" t="s">
        <v>97</v>
      </c>
      <c r="B9" s="18">
        <v>-752000000</v>
      </c>
      <c r="C9" s="18">
        <v>-181000000</v>
      </c>
      <c r="D9" s="18">
        <v>-1943000000</v>
      </c>
      <c r="E9" s="18">
        <v>-2553000000</v>
      </c>
      <c r="F9" s="6" t="s">
        <v>98</v>
      </c>
    </row>
    <row r="10" spans="1:6" x14ac:dyDescent="0.25">
      <c r="A10" t="s">
        <v>99</v>
      </c>
      <c r="B10" s="18">
        <v>67095000000</v>
      </c>
      <c r="C10" s="18">
        <v>60114000000</v>
      </c>
      <c r="D10" s="18">
        <v>61321000000</v>
      </c>
      <c r="E10" s="18">
        <v>58923000000</v>
      </c>
      <c r="F10" s="6" t="s">
        <v>100</v>
      </c>
    </row>
    <row r="11" spans="1:6" x14ac:dyDescent="0.25">
      <c r="A11" t="s">
        <v>101</v>
      </c>
      <c r="B11" s="18">
        <v>10727000000</v>
      </c>
      <c r="C11" s="18">
        <v>9037000000</v>
      </c>
      <c r="D11" s="18">
        <v>9867000000</v>
      </c>
      <c r="E11" s="18">
        <v>8625000000</v>
      </c>
      <c r="F11" s="6" t="s">
        <v>102</v>
      </c>
    </row>
    <row r="12" spans="1:6" x14ac:dyDescent="0.25">
      <c r="A12" t="s">
        <v>34</v>
      </c>
      <c r="B12" s="34">
        <v>8022000000</v>
      </c>
      <c r="C12" s="34">
        <v>8081000000</v>
      </c>
      <c r="D12" s="34">
        <v>8109000000</v>
      </c>
      <c r="E12" s="34">
        <v>8202000000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