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<sst xmlns="http://schemas.openxmlformats.org/spreadsheetml/2006/main" count="113" uniqueCount="101">
  <si>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Walmart Inc. (WMT)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</si>
  <si>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</si>
  <si>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</si>
  <si>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</si>
  <si>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</si>
  <si>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</si>
  <si>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</si>
  <si>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</si>
  <si>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</si>
  <si>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</si>
  <si>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</si>
  <si>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</si>
  <si>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</si>
  <si>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</si>
  <si>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</si>
  <si>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</si>
  <si>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</si>
  <si>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</si>
  <si>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</si>
  <si>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</si>
  <si>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</si>
  <si>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</si>
  <si>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</si>
  <si>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</si>
  <si>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</si>
  <si>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</si>
  <si>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</si>
  <si>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</si>
  <si>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</si>
  <si>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</si>
  <si>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</si>
  <si>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</si>
  <si>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</si>
  <si>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</si>
  <si>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</si>
  <si>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</si>
  <si>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</si>
  <si>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</si>
  <si>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</si>
  <si>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</si>
  <si>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</si>
  <si>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</si>
  <si>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</si>
  <si>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</si>
  <si>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</si>
  <si>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</si>
  <si>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</si>
  <si>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</si>
  <si>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</si>
  <si>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</si>
  <si>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</si>
  <si>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</si>
  <si>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</si>
  <si>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</si>
  <si>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</si>
  <si>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</si>
  <si>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</si>
  <si>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</si>
  <si>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</si>
  <si>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</si>
  <si>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</si>
  <si>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</si>
  <si>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</si>
  <si>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</si>
  <si>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</si>
  <si>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</si>
  <si>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</si>
  <si>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</si>
  <si>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</si>
  <si>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</si>
  <si>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</si>
  <si>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</si>
  <si>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</si>
  <si>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</si>
  <si>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</si>
  <si>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</si>
  <si>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</si>
  <si>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</si>
  <si>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</si>
  <si>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</si>
  <si>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</si>
  <si>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</si>
  <si>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</si>
  <si>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</si>
  <si>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</si>
  <si>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</si>
  <si>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</si>
  <si>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</si>
  <si>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</si>
  <si>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</si>
  <si>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</si>
  <si>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</si>
  <si>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</si>
  <si>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</si>
  <si>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</si>
  <si>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</si>
  <si>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</si>
  <si>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</si>
  <si>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3.3% of revenue against depreciation of 1.9%. A perpetuity has to be a steady state, so the terminal year uses maintenance capex at depreciation and then charges the reinvestment terminal growth requires (g/ROIC of NOPAT). The bridge is shown under Terminal Value.</t>
  </si>
  <si>
    <t>Current EV/EBITDA of 20.6x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</si>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</sst>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0.05272290929168877</v>
      </c>
    </row>
    <row r="7" spans="1:2" x14ac:dyDescent="0.25">
      <c r="A7" t="s">
        <v>5</v>
      </c>
      <c r="B7" s="6">
        <v>0.040003046321653045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0.01878969407967112</v>
      </c>
    </row>
    <row r="10" spans="1:2" x14ac:dyDescent="0.25">
      <c r="A10" t="s">
        <v>8</v>
      </c>
      <c r="B10" s="6">
        <v>0.032912833480089845</v>
      </c>
    </row>
    <row r="11" spans="1:2" x14ac:dyDescent="0.25">
      <c r="A11" t="s">
        <v>9</v>
      </c>
      <c r="B11" s="6">
        <v>-0.02337000435079868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0.16742306118651687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0.72865</v>
      </c>
      <c r="C19" s="8" t="s">
        <v>19</v>
      </c>
    </row>
    <row r="20" spans="1:2" x14ac:dyDescent="0.25">
      <c r="A20" t="s">
        <v>20</v>
      </c>
      <c r="B20" s="10">
        <f>B17+B19*B18</f>
        <v>0.09005575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849365827584</v>
      </c>
    </row>
    <row r="23" spans="1:2" x14ac:dyDescent="0.25">
      <c r="A23" t="s">
        <v>24</v>
      </c>
      <c r="B23" s="11">
        <v>67095000000</v>
      </c>
    </row>
    <row r="24" spans="1:2" x14ac:dyDescent="0.25">
      <c r="A24" t="s">
        <v>25</v>
      </c>
      <c r="B24" s="10">
        <f>B22/(B22+B23)</f>
        <v>0.9267890148923466</v>
      </c>
    </row>
    <row r="25" spans="1:2" x14ac:dyDescent="0.25">
      <c r="A25" t="s">
        <v>26</v>
      </c>
      <c r="B25" s="10">
        <f>1-B24</f>
        <v>0.07321098510765345</v>
      </c>
    </row>
    <row r="26" spans="1:2" x14ac:dyDescent="0.25">
      <c r="A26" t="s">
        <v>27</v>
      </c>
      <c r="B26" s="12">
        <f>B24*B20+B25*B21*(1-B8)</f>
        <v>0.08635335700607906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713163000000</v>
      </c>
      <c r="C29" s="8" t="s">
        <v>30</v>
      </c>
    </row>
    <row r="30" spans="1:2" x14ac:dyDescent="0.25">
      <c r="A30" t="s">
        <v>31</v>
      </c>
      <c r="B30" s="11">
        <v>56368000000</v>
      </c>
    </row>
    <row r="31" spans="1:2" x14ac:dyDescent="0.25">
      <c r="A31" t="s">
        <v>32</v>
      </c>
      <c r="B31" s="13">
        <v>8022000000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0.05272290929168877</v>
      </c>
      <c r="C5" s="10">
        <f>Assumptions!B6</f>
        <v>0.05272290929168877</v>
      </c>
      <c r="D5" s="10">
        <f>Assumptions!B6</f>
        <v>0.05272290929168877</v>
      </c>
      <c r="E5" s="10">
        <f>Assumptions!B6</f>
        <v>0.05272290929168877</v>
      </c>
      <c r="F5" s="10">
        <f>Assumptions!B6</f>
        <v>0.05272290929168877</v>
      </c>
    </row>
    <row r="6" spans="1:6" x14ac:dyDescent="0.25">
      <c r="A6" t="s">
        <v>43</v>
      </c>
      <c r="B6" s="18">
        <f>Assumptions!B29*(1+B5)</f>
        <v>750763028159.1886</v>
      </c>
      <c r="C6" s="18">
        <f>B6*(1+C5)</f>
        <v>790345439192.379</v>
      </c>
      <c r="D6" s="18">
        <f>C6*(1+D5)</f>
        <v>832014750092.0188</v>
      </c>
      <c r="E6" s="18">
        <f>D6*(1+E5)</f>
        <v>875880988290.4674</v>
      </c>
      <c r="F6" s="18">
        <f>E6*(1+F5)</f>
        <v>922059982186.4204</v>
      </c>
    </row>
    <row r="7" spans="1:6" x14ac:dyDescent="0.25">
      <c r="A7" t="s">
        <v>5</v>
      </c>
      <c r="B7" s="10">
        <f>Assumptions!B7</f>
        <v>0.040003046321653045</v>
      </c>
      <c r="C7" s="10">
        <f>Assumptions!B7</f>
        <v>0.040003046321653045</v>
      </c>
      <c r="D7" s="10">
        <f>Assumptions!B7</f>
        <v>0.040003046321653045</v>
      </c>
      <c r="E7" s="10">
        <f>Assumptions!B7</f>
        <v>0.040003046321653045</v>
      </c>
      <c r="F7" s="10">
        <f>Assumptions!B7</f>
        <v>0.040003046321653045</v>
      </c>
    </row>
    <row r="8" spans="1:6" x14ac:dyDescent="0.25">
      <c r="A8" t="s">
        <v>44</v>
      </c>
      <c r="B8" s="18">
        <f>B6*B7</f>
        <v>30032808192.03653</v>
      </c>
      <c r="C8" s="18">
        <f>C6*C7</f>
        <v>31616225214.119957</v>
      </c>
      <c r="D8" s="18">
        <f>D6*D7</f>
        <v>33283124588.22961</v>
      </c>
      <c r="E8" s="18">
        <f>E6*E7</f>
        <v>35037907746.83881</v>
      </c>
      <c r="F8" s="18">
        <f>F6*F7</f>
        <v>36885208178.74596</v>
      </c>
    </row>
    <row r="9" spans="1:6" x14ac:dyDescent="0.25">
      <c r="A9" t="s">
        <v>45</v>
      </c>
      <c r="B9" s="18">
        <f>B8*(1-Assumptions!B8)</f>
        <v>23725918471.70886</v>
      </c>
      <c r="C9" s="18">
        <f>C8*(1-Assumptions!B8)</f>
        <v>24976817919.154766</v>
      </c>
      <c r="D9" s="18">
        <f>D8*(1-Assumptions!B8)</f>
        <v>26293668424.701393</v>
      </c>
      <c r="E9" s="18">
        <f>E8*(1-Assumptions!B8)</f>
        <v>27679947120.002663</v>
      </c>
      <c r="F9" s="18">
        <f>F8*(1-Assumptions!B8)</f>
        <v>29139314461.20931</v>
      </c>
    </row>
    <row r="10" spans="1:6" x14ac:dyDescent="0.25">
      <c r="A10" t="s">
        <v>46</v>
      </c>
      <c r="B10" s="18">
        <f>B6*Assumptions!B9</f>
        <v>14106607625.438667</v>
      </c>
      <c r="C10" s="18">
        <f>C6*Assumptions!B9</f>
        <v>14850349019.688114</v>
      </c>
      <c r="D10" s="18">
        <f>D6*Assumptions!B9</f>
        <v>15633302624.003052</v>
      </c>
      <c r="E10" s="18">
        <f>E6*Assumptions!B9</f>
        <v>16457535820.177885</v>
      </c>
      <c r="F10" s="18">
        <f>F6*Assumptions!B9</f>
        <v>17325224988.389843</v>
      </c>
    </row>
    <row r="11" spans="1:6" x14ac:dyDescent="0.25">
      <c r="A11" t="s">
        <v>47</v>
      </c>
      <c r="B11" s="18">
        <f>-B6*Assumptions!B10</f>
        <v>-24709738528.81138</v>
      </c>
      <c r="C11" s="18">
        <f>-C6*Assumptions!B10</f>
        <v>-26012507831.887245</v>
      </c>
      <c r="D11" s="18">
        <f>-D6*Assumptions!B10</f>
        <v>-27383962922.757183</v>
      </c>
      <c r="E11" s="18">
        <f>-E6*Assumptions!B10</f>
        <v>-28827725115.98068</v>
      </c>
      <c r="F11" s="18">
        <f>-F6*Assumptions!B10</f>
        <v>-30347606652.356262</v>
      </c>
    </row>
    <row r="12" spans="1:6" x14ac:dyDescent="0.25">
      <c r="A12" t="s">
        <v>48</v>
      </c>
      <c r="B12" s="18">
        <f>-(B6-Assumptions!B29)*Assumptions!B11</f>
        <v>878712821.6703905</v>
      </c>
      <c r="C12" s="18">
        <f>-(C6-B6)*Assumptions!B11</f>
        <v>925041118.060762</v>
      </c>
      <c r="D12" s="18">
        <f>-(D6-C6)*Assumptions!B11</f>
        <v>973811977.0193644</v>
      </c>
      <c r="E12" s="18">
        <f>-(E6-D6)*Assumptions!B11</f>
        <v>1025154177.5509152</v>
      </c>
      <c r="F12" s="18">
        <f>-(F6-E6)*Assumptions!B11</f>
        <v>1079203288.2639275</v>
      </c>
    </row>
    <row r="13" spans="1:6" x14ac:dyDescent="0.25">
      <c r="A13" s="19" t="s">
        <v>49</v>
      </c>
      <c r="B13" s="20">
        <f>B9+B10+B11+B12</f>
        <v>14001500390.006535</v>
      </c>
      <c r="C13" s="20">
        <f>C9+C10+C11+C12</f>
        <v>14739700225.016397</v>
      </c>
      <c r="D13" s="20">
        <f>D9+D10+D11+D12</f>
        <v>15516820102.966625</v>
      </c>
      <c r="E13" s="20">
        <f>E9+E10+E11+E12</f>
        <v>16334912001.750786</v>
      </c>
      <c r="F13" s="20">
        <f>F9+F10+F11+F12</f>
        <v>17196136085.506817</v>
      </c>
    </row>
    <row r="14" spans="1:6" x14ac:dyDescent="0.25">
      <c r="A14" t="s">
        <v>50</v>
      </c>
      <c r="B14" s="21">
        <f>1/(1+Assumptions!$B$26)^(1-0.5*Assumptions!$B$32)</f>
        <v>0.9594325417037046</v>
      </c>
      <c r="C14" s="21">
        <f>1/(1+Assumptions!$B$26)^(2-0.5*Assumptions!$B$32)</f>
        <v>0.88316801850536</v>
      </c>
      <c r="D14" s="21">
        <f>1/(1+Assumptions!$B$26)^(3-0.5*Assumptions!$B$32)</f>
        <v>0.8129657010858004</v>
      </c>
      <c r="E14" s="21">
        <f>1/(1+Assumptions!$B$26)^(4-0.5*Assumptions!$B$32)</f>
        <v>0.7483437095700448</v>
      </c>
      <c r="F14" s="21">
        <f>1/(1+Assumptions!$B$26)^(5-0.5*Assumptions!$B$32)</f>
        <v>0.6888584683278676</v>
      </c>
    </row>
    <row r="15" spans="1:6" x14ac:dyDescent="0.25">
      <c r="A15" s="19" t="s">
        <v>51</v>
      </c>
      <c r="B15" s="20">
        <f>B13*B14</f>
        <v>13433495106.84938</v>
      </c>
      <c r="C15" s="20">
        <f>C13*C14</f>
        <v>13017631841.09074</v>
      </c>
      <c r="D15" s="20">
        <f>D13*D14</f>
        <v>12614642533.630503</v>
      </c>
      <c r="E15" s="20">
        <f>E13*E14</f>
        <v>12224128642.890429</v>
      </c>
      <c r="F15" s="20">
        <f>F13*F14</f>
        <v>11845703965.019798</v>
      </c>
    </row>
    <row r="17" spans="1:2" x14ac:dyDescent="0.25">
      <c r="A17" s="22" t="s">
        <v>52</v>
      </c>
      <c r="B17" s="23">
        <f>SUM(B15:F15)</f>
        <v>63135602089.48085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17196136085.506817</v>
      </c>
    </row>
    <row r="5" spans="1:2" x14ac:dyDescent="0.25">
      <c r="A5" t="s">
        <v>56</v>
      </c>
      <c r="B5" s="18">
        <f>IF(Assumptions!$B$33=0,B4,B4-Forecast!F11-Forecast!F10-Forecast!F12)</f>
        <v>29139314461.20931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0.14932232049053787</v>
      </c>
    </row>
    <row r="7" spans="1:2" x14ac:dyDescent="0.25">
      <c r="A7" t="s">
        <v>58</v>
      </c>
      <c r="B7" s="18">
        <f>-MAX(Forecast!F9,0)*B6</f>
        <v>-4351150052.851261</v>
      </c>
    </row>
    <row r="8" spans="1:2" x14ac:dyDescent="0.25">
      <c r="A8" t="s">
        <v>59</v>
      </c>
      <c r="B8" s="18">
        <f>IF(OR(Assumptions!$B$33=0,Assumptions!B12&lt;=0),B5,MAX(B5+B7,0))</f>
        <v>24788164408.358047</v>
      </c>
    </row>
    <row r="9" spans="1:2" x14ac:dyDescent="0.25">
      <c r="A9" t="s">
        <v>60</v>
      </c>
      <c r="B9" s="18">
        <f>B8*(1+Assumptions!B12)/(Assumptions!B26-Assumptions!B12)</f>
        <v>414123525727.3619</v>
      </c>
    </row>
    <row r="10" spans="1:2" x14ac:dyDescent="0.25">
      <c r="A10" t="s">
        <v>61</v>
      </c>
      <c r="B10" s="18">
        <f>B9/(1+Assumptions!B26)^(5-0.5*Assumptions!B32)</f>
        <v>285272497631.0868</v>
      </c>
    </row>
    <row r="11" spans="1:2" x14ac:dyDescent="0.25">
      <c r="A11" t="s">
        <v>62</v>
      </c>
      <c r="B11" s="18">
        <f>Forecast!B17+B10</f>
        <v>348408099720.5676</v>
      </c>
    </row>
    <row r="12" spans="1:2" x14ac:dyDescent="0.25">
      <c r="A12" t="s">
        <v>63</v>
      </c>
      <c r="B12" s="18">
        <f>-Assumptions!B30</f>
        <v>-56368000000</v>
      </c>
    </row>
    <row r="13" spans="1:2" x14ac:dyDescent="0.25">
      <c r="A13" t="s">
        <v>64</v>
      </c>
      <c r="B13" s="18">
        <f>B11+B12</f>
        <v>292040099720.5676</v>
      </c>
    </row>
    <row r="14" spans="1:2" x14ac:dyDescent="0.25">
      <c r="A14" s="19" t="s">
        <v>65</v>
      </c>
      <c r="B14" s="24">
        <f>B13/Assumptions!B31</f>
        <v>36.40489899284064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54210433167.1358</v>
      </c>
    </row>
    <row r="18" spans="1:2" x14ac:dyDescent="0.25">
      <c r="A18" t="s">
        <v>60</v>
      </c>
      <c r="B18" s="18">
        <f>B17*Assumptions!B13</f>
        <v>1084208663342.7161</v>
      </c>
    </row>
    <row r="19" spans="1:2" x14ac:dyDescent="0.25">
      <c r="A19" t="s">
        <v>61</v>
      </c>
      <c r="B19" s="18">
        <f>B18/(1+Assumptions!B26)^(5-0.5*Assumptions!B32)</f>
        <v>746866319178.068</v>
      </c>
    </row>
    <row r="20" spans="1:2" x14ac:dyDescent="0.25">
      <c r="A20" t="s">
        <v>62</v>
      </c>
      <c r="B20" s="18">
        <f>Forecast!B17+B19</f>
        <v>810001921267.5488</v>
      </c>
    </row>
    <row r="21" spans="1:2" x14ac:dyDescent="0.25">
      <c r="A21" t="s">
        <v>63</v>
      </c>
      <c r="B21" s="18">
        <f>-Assumptions!B30</f>
        <v>-56368000000</v>
      </c>
    </row>
    <row r="22" spans="1:2" x14ac:dyDescent="0.25">
      <c r="A22" t="s">
        <v>64</v>
      </c>
      <c r="B22" s="18">
        <f>B20+B21</f>
        <v>753633921267.5488</v>
      </c>
    </row>
    <row r="23" spans="1:2" x14ac:dyDescent="0.25">
      <c r="A23" s="19" t="s">
        <v>65</v>
      </c>
      <c r="B23" s="25">
        <f>B22/Assumptions!B31</f>
        <v>93.94588896379317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106.73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36.40489899284064</v>
      </c>
    </row>
    <row r="29" spans="1:2" x14ac:dyDescent="0.25">
      <c r="A29" s="19" t="s">
        <v>73</v>
      </c>
      <c r="B29" s="12">
        <f>B28/B26-1</f>
        <v>-0.6589065961506546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0.066353</v>
      </c>
      <c r="B5" s="31">
        <v>50.163921038516875</v>
      </c>
      <c r="C5" s="31">
        <v>53.92371705435609</v>
      </c>
      <c r="D5" s="31">
        <v>58.57306182455585</v>
      </c>
      <c r="E5" s="31">
        <v>64.47900157130988</v>
      </c>
      <c r="F5" s="31">
        <v>72.24272038061679</v>
      </c>
    </row>
    <row r="6" spans="1:6" x14ac:dyDescent="0.25">
      <c r="A6" s="30">
        <v>0.076353</v>
      </c>
      <c r="B6" s="31">
        <v>40.31227352945793</v>
      </c>
      <c r="C6" s="31">
        <v>42.598855907760964</v>
      </c>
      <c r="D6" s="31">
        <v>45.31553569181218</v>
      </c>
      <c r="E6" s="31">
        <v>48.60149397207437</v>
      </c>
      <c r="F6" s="31">
        <v>52.66322549966993</v>
      </c>
    </row>
    <row r="7" spans="1:6" x14ac:dyDescent="0.25">
      <c r="A7" s="30">
        <v>0.086353</v>
      </c>
      <c r="B7" s="31">
        <v>33.24897209886071</v>
      </c>
      <c r="C7" s="31">
        <v>34.71378280292237</v>
      </c>
      <c r="D7" s="32">
        <v>36.40516481247905</v>
      </c>
      <c r="E7" s="31">
        <v>38.38342671061287</v>
      </c>
      <c r="F7" s="31">
        <v>40.73236493236475</v>
      </c>
    </row>
    <row r="8" spans="1:6" x14ac:dyDescent="0.25">
      <c r="A8" s="30">
        <v>0.096353</v>
      </c>
      <c r="B8" s="31">
        <v>27.94440279039899</v>
      </c>
      <c r="C8" s="31">
        <v>28.915634325378708</v>
      </c>
      <c r="D8" s="31">
        <v>30.012932373042904</v>
      </c>
      <c r="E8" s="31">
        <v>31.26479598679184</v>
      </c>
      <c r="F8" s="31">
        <v>32.709014410692966</v>
      </c>
    </row>
    <row r="9" spans="1:6" x14ac:dyDescent="0.25">
      <c r="A9" s="30">
        <v>0.106353</v>
      </c>
      <c r="B9" s="31">
        <v>23.819861354675897</v>
      </c>
      <c r="C9" s="31">
        <v>24.47829146525955</v>
      </c>
      <c r="D9" s="31">
        <v>25.209194857076223</v>
      </c>
      <c r="E9" s="31">
        <v>26.026809336348293</v>
      </c>
      <c r="F9" s="31">
        <v>26.949363517315252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713163000000</v>
      </c>
      <c r="C5" s="18">
        <v>680985000000</v>
      </c>
      <c r="D5" s="18">
        <v>648125000000</v>
      </c>
      <c r="E5" s="18">
        <v>611289000000</v>
      </c>
      <c r="F5" s="8" t="s">
        <v>84</v>
      </c>
    </row>
    <row r="6" spans="1:6" x14ac:dyDescent="0.25">
      <c r="A6" t="s">
        <v>44</v>
      </c>
      <c r="B6" s="18">
        <v>29825000000</v>
      </c>
      <c r="C6" s="18">
        <v>29348000000</v>
      </c>
      <c r="D6" s="18">
        <v>27012000000</v>
      </c>
      <c r="E6" s="18">
        <v>20428000000</v>
      </c>
      <c r="F6" s="8" t="s">
        <v>85</v>
      </c>
    </row>
    <row r="7" spans="1:6" x14ac:dyDescent="0.25">
      <c r="A7" t="s">
        <v>86</v>
      </c>
      <c r="B7" s="18">
        <v>14203000000</v>
      </c>
      <c r="C7" s="18">
        <v>12973000000</v>
      </c>
      <c r="D7" s="18">
        <v>11853000000</v>
      </c>
      <c r="E7" s="18">
        <v>10945000000</v>
      </c>
      <c r="F7" s="8" t="s">
        <v>87</v>
      </c>
    </row>
    <row r="8" spans="1:6" x14ac:dyDescent="0.25">
      <c r="A8" t="s">
        <v>88</v>
      </c>
      <c r="B8" s="18">
        <v>26642000000</v>
      </c>
      <c r="C8" s="18">
        <v>23783000000</v>
      </c>
      <c r="D8" s="18">
        <v>20606000000</v>
      </c>
      <c r="E8" s="18">
        <v>16857000000</v>
      </c>
      <c r="F8" s="8" t="s">
        <v>89</v>
      </c>
    </row>
    <row r="9" spans="1:6" x14ac:dyDescent="0.25">
      <c r="A9" t="s">
        <v>90</v>
      </c>
      <c r="B9" s="18">
        <v>-752000000</v>
      </c>
      <c r="C9" s="18">
        <v>-181000000</v>
      </c>
      <c r="D9" s="18">
        <v>-1943000000</v>
      </c>
      <c r="E9" s="18">
        <v>-2553000000</v>
      </c>
      <c r="F9" s="8" t="s">
        <v>91</v>
      </c>
    </row>
    <row r="10" spans="1:6" x14ac:dyDescent="0.25">
      <c r="A10" t="s">
        <v>92</v>
      </c>
      <c r="B10" s="18">
        <v>67095000000</v>
      </c>
      <c r="C10" s="18">
        <v>60114000000</v>
      </c>
      <c r="D10" s="18">
        <v>61321000000</v>
      </c>
      <c r="E10" s="18">
        <v>58923000000</v>
      </c>
      <c r="F10" s="8" t="s">
        <v>93</v>
      </c>
    </row>
    <row r="11" spans="1:6" x14ac:dyDescent="0.25">
      <c r="A11" t="s">
        <v>94</v>
      </c>
      <c r="B11" s="18">
        <v>10727000000</v>
      </c>
      <c r="C11" s="18">
        <v>9037000000</v>
      </c>
      <c r="D11" s="18">
        <v>9867000000</v>
      </c>
      <c r="E11" s="18">
        <v>8625000000</v>
      </c>
      <c r="F11" s="8" t="s">
        <v>95</v>
      </c>
    </row>
    <row r="12" spans="1:6" x14ac:dyDescent="0.25">
      <c r="A12" t="s">
        <v>32</v>
      </c>
      <c r="B12" s="34">
        <v>8022000000</v>
      </c>
      <c r="C12" s="34">
        <v>8081000000</v>
      </c>
      <c r="D12" s="34">
        <v>8109000000</v>
      </c>
      <c r="E12" s="34">
        <v>8202000000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2026-09-19T01:05:47Z</dcterms:modified>
</cp:coreProperties>
</file>