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<sst xmlns="http://schemas.openxmlformats.org/spreadsheetml/2006/main" count="112" uniqueCount="100">
  <si>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George Weston Limited (WN.TO)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</si>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</sst>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0.041832217879715694</v>
      </c>
    </row>
    <row r="7" spans="1:2" x14ac:dyDescent="0.25">
      <c r="A7" t="s">
        <v>5</v>
      </c>
      <c r="B7" s="6">
        <v>0.07411398512211868</v>
      </c>
    </row>
    <row r="8" spans="1:2" x14ac:dyDescent="0.25">
      <c r="A8" t="s">
        <v>6</v>
      </c>
      <c r="B8" s="6">
        <v>0.25594423978622366</v>
      </c>
    </row>
    <row r="9" spans="1:2" x14ac:dyDescent="0.25">
      <c r="A9" t="s">
        <v>7</v>
      </c>
      <c r="B9" s="6">
        <v>0.041037872026570166</v>
      </c>
    </row>
    <row r="10" spans="1:2" x14ac:dyDescent="0.25">
      <c r="A10" t="s">
        <v>8</v>
      </c>
      <c r="B10" s="6">
        <v>0.037115841432375986</v>
      </c>
    </row>
    <row r="11" spans="1:2" x14ac:dyDescent="0.25">
      <c r="A11" t="s">
        <v>9</v>
      </c>
      <c r="B11" s="6">
        <v>0.07672301690507152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7.38761697540107</v>
      </c>
    </row>
    <row r="14" spans="1:3" x14ac:dyDescent="0.25">
      <c r="A14" t="s">
        <v>12</v>
      </c>
      <c r="B14" s="6">
        <v>0.1534661447323881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0.65428</v>
      </c>
      <c r="C19" s="8" t="s">
        <v>19</v>
      </c>
    </row>
    <row r="20" spans="1:2" x14ac:dyDescent="0.25">
      <c r="A20" t="s">
        <v>20</v>
      </c>
      <c r="B20" s="10">
        <f>B17+B19*B18</f>
        <v>0.0689854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37173374976</v>
      </c>
    </row>
    <row r="23" spans="1:2" x14ac:dyDescent="0.25">
      <c r="A23" t="s">
        <v>24</v>
      </c>
      <c r="B23" s="11">
        <v>19579000000</v>
      </c>
    </row>
    <row r="24" spans="1:2" x14ac:dyDescent="0.25">
      <c r="A24" t="s">
        <v>25</v>
      </c>
      <c r="B24" s="10">
        <f>B22/(B22+B23)</f>
        <v>0.6550100324738874</v>
      </c>
    </row>
    <row r="25" spans="1:2" x14ac:dyDescent="0.25">
      <c r="A25" t="s">
        <v>26</v>
      </c>
      <c r="B25" s="10">
        <f>1-B24</f>
        <v>0.34498996752611255</v>
      </c>
    </row>
    <row r="26" spans="1:2" x14ac:dyDescent="0.25">
      <c r="A26" t="s">
        <v>27</v>
      </c>
      <c r="B26" s="12">
        <f>B24*B20+B25*B21*(1-B8)</f>
        <v>0.05879079303957381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64511000000</v>
      </c>
      <c r="C29" s="8" t="s">
        <v>30</v>
      </c>
    </row>
    <row r="30" spans="1:2" x14ac:dyDescent="0.25">
      <c r="A30" t="s">
        <v>31</v>
      </c>
      <c r="B30" s="11">
        <v>18086000000</v>
      </c>
    </row>
    <row r="31" spans="1:2" x14ac:dyDescent="0.25">
      <c r="A31" t="s">
        <v>32</v>
      </c>
      <c r="B31" s="13">
        <v>386700000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0.041832217879715694</v>
      </c>
      <c r="C5" s="10">
        <f>Assumptions!B6</f>
        <v>0.041832217879715694</v>
      </c>
      <c r="D5" s="10">
        <f>Assumptions!B6</f>
        <v>0.041832217879715694</v>
      </c>
      <c r="E5" s="10">
        <f>Assumptions!B6</f>
        <v>0.041832217879715694</v>
      </c>
      <c r="F5" s="10">
        <f>Assumptions!B6</f>
        <v>0.041832217879715694</v>
      </c>
    </row>
    <row r="6" spans="1:6" x14ac:dyDescent="0.25">
      <c r="A6" t="s">
        <v>43</v>
      </c>
      <c r="B6" s="18">
        <f>Assumptions!B29*(1+B5)</f>
        <v>67209638207.638336</v>
      </c>
      <c r="C6" s="18">
        <f>B6*(1+C5)</f>
        <v>70021166436.75713</v>
      </c>
      <c r="D6" s="18">
        <f>C6*(1+D5)</f>
        <v>72950307127.33139</v>
      </c>
      <c r="E6" s="18">
        <f>D6*(1+E5)</f>
        <v>76001980269.47409</v>
      </c>
      <c r="F6" s="18">
        <f>E6*(1+F5)</f>
        <v>79181311667.39659</v>
      </c>
    </row>
    <row r="7" spans="1:6" x14ac:dyDescent="0.25">
      <c r="A7" t="s">
        <v>5</v>
      </c>
      <c r="B7" s="10">
        <f>Assumptions!B7</f>
        <v>0.07411398512211868</v>
      </c>
      <c r="C7" s="10">
        <f>Assumptions!B7</f>
        <v>0.07411398512211868</v>
      </c>
      <c r="D7" s="10">
        <f>Assumptions!B7</f>
        <v>0.07411398512211868</v>
      </c>
      <c r="E7" s="10">
        <f>Assumptions!B7</f>
        <v>0.07411398512211868</v>
      </c>
      <c r="F7" s="10">
        <f>Assumptions!B7</f>
        <v>0.07411398512211868</v>
      </c>
    </row>
    <row r="8" spans="1:6" x14ac:dyDescent="0.25">
      <c r="A8" t="s">
        <v>44</v>
      </c>
      <c r="B8" s="18">
        <f>B6*B7</f>
        <v>4981174126.1838875</v>
      </c>
      <c r="C8" s="18">
        <f>C6*C7</f>
        <v>5189547687.527214</v>
      </c>
      <c r="D8" s="18">
        <f>D6*D7</f>
        <v>5406637977.089027</v>
      </c>
      <c r="E8" s="18">
        <f>E6*E7</f>
        <v>5632809634.94336</v>
      </c>
      <c r="F8" s="18">
        <f>F6*F7</f>
        <v>5868442554.867273</v>
      </c>
    </row>
    <row r="9" spans="1:6" x14ac:dyDescent="0.25">
      <c r="A9" t="s">
        <v>45</v>
      </c>
      <c r="B9" s="18">
        <f>B8*(1-Assumptions!B8)</f>
        <v>3706271301.2149453</v>
      </c>
      <c r="C9" s="18">
        <f>C8*(1-Assumptions!B8)</f>
        <v>3861312849.808706</v>
      </c>
      <c r="D9" s="18">
        <f>D8*(1-Assumptions!B8)</f>
        <v>4022840130.24365</v>
      </c>
      <c r="E9" s="18">
        <f>E8*(1-Assumptions!B8)</f>
        <v>4191124455.0672655</v>
      </c>
      <c r="F9" s="18">
        <f>F8*(1-Assumptions!B8)</f>
        <v>4366448486.432645</v>
      </c>
    </row>
    <row r="10" spans="1:6" x14ac:dyDescent="0.25">
      <c r="A10" t="s">
        <v>46</v>
      </c>
      <c r="B10" s="18">
        <f>B6*Assumptions!B9</f>
        <v>2758140531.7171426</v>
      </c>
      <c r="C10" s="18">
        <f>C6*Assumptions!B9</f>
        <v>2873519667.382809</v>
      </c>
      <c r="D10" s="18">
        <f>D6*Assumptions!B9</f>
        <v>2993725368.190415</v>
      </c>
      <c r="E10" s="18">
        <f>E6*Assumptions!B9</f>
        <v>3118959540.0645885</v>
      </c>
      <c r="F10" s="18">
        <f>F6*Assumptions!B9</f>
        <v>3249432535.1025887</v>
      </c>
    </row>
    <row r="11" spans="1:6" x14ac:dyDescent="0.25">
      <c r="A11" t="s">
        <v>47</v>
      </c>
      <c r="B11" s="18">
        <f>-B6*Assumptions!B10</f>
        <v>-2494542274.442063</v>
      </c>
      <c r="C11" s="18">
        <f>-C6*Assumptions!B10</f>
        <v>-2598894510.376685</v>
      </c>
      <c r="D11" s="18">
        <f>-D6*Assumptions!B10</f>
        <v>-2707612031.7811594</v>
      </c>
      <c r="E11" s="18">
        <f>-E6*Assumptions!B10</f>
        <v>-2820877448.2283688</v>
      </c>
      <c r="F11" s="18">
        <f>-F6*Assumptions!B10</f>
        <v>-2938881008.2546344</v>
      </c>
    </row>
    <row r="12" spans="1:6" x14ac:dyDescent="0.25">
      <c r="A12" t="s">
        <v>48</v>
      </c>
      <c r="B12" s="18">
        <f>-(B6-Assumptions!B29)*Assumptions!B11</f>
        <v>-207047664.825308</v>
      </c>
      <c r="C12" s="18">
        <f>-(C6-B6)*Assumptions!B11</f>
        <v>-215708927.8517667</v>
      </c>
      <c r="D12" s="18">
        <f>-(D6-C6)*Assumptions!B11</f>
        <v>-224732510.72026217</v>
      </c>
      <c r="E12" s="18">
        <f>-(E6-D6)*Assumptions!B11</f>
        <v>-234133570.07336712</v>
      </c>
      <c r="F12" s="18">
        <f>-(F6-E6)*Assumptions!B11</f>
        <v>-243927896.5896327</v>
      </c>
    </row>
    <row r="13" spans="1:6" x14ac:dyDescent="0.25">
      <c r="A13" s="19" t="s">
        <v>49</v>
      </c>
      <c r="B13" s="20">
        <f>B9+B10+B11+B12</f>
        <v>3762821893.664717</v>
      </c>
      <c r="C13" s="20">
        <f>C9+C10+C11+C12</f>
        <v>3920229078.9630632</v>
      </c>
      <c r="D13" s="20">
        <f>D9+D10+D11+D12</f>
        <v>4084220955.9326434</v>
      </c>
      <c r="E13" s="20">
        <f>E9+E10+E11+E12</f>
        <v>4255072976.830118</v>
      </c>
      <c r="F13" s="20">
        <f>F9+F10+F11+F12</f>
        <v>4433072116.690967</v>
      </c>
    </row>
    <row r="14" spans="1:6" x14ac:dyDescent="0.25">
      <c r="A14" t="s">
        <v>50</v>
      </c>
      <c r="B14" s="21">
        <f>1/(1+Assumptions!$B$26)^(1-0.5*Assumptions!$B$32)</f>
        <v>0.9718403394503433</v>
      </c>
      <c r="C14" s="21">
        <f>1/(1+Assumptions!$B$26)^(2-0.5*Assumptions!$B$32)</f>
        <v>0.9178775881308776</v>
      </c>
      <c r="D14" s="21">
        <f>1/(1+Assumptions!$B$26)^(3-0.5*Assumptions!$B$32)</f>
        <v>0.8669111916772879</v>
      </c>
      <c r="E14" s="21">
        <f>1/(1+Assumptions!$B$26)^(4-0.5*Assumptions!$B$32)</f>
        <v>0.8187747734267328</v>
      </c>
      <c r="F14" s="21">
        <f>1/(1+Assumptions!$B$26)^(5-0.5*Assumptions!$B$32)</f>
        <v>0.7733111950059522</v>
      </c>
    </row>
    <row r="15" spans="1:6" x14ac:dyDescent="0.25">
      <c r="A15" s="19" t="s">
        <v>51</v>
      </c>
      <c r="B15" s="20">
        <f>B13*B14</f>
        <v>3656862106.4303026</v>
      </c>
      <c r="C15" s="20">
        <f>C13*C14</f>
        <v>3598290411.9191484</v>
      </c>
      <c r="D15" s="20">
        <f>D13*D14</f>
        <v>3540656855.98092</v>
      </c>
      <c r="E15" s="20">
        <f>E13*E14</f>
        <v>3483946412.5182934</v>
      </c>
      <c r="F15" s="20">
        <f>F13*F14</f>
        <v>3428144296.1058574</v>
      </c>
    </row>
    <row r="17" spans="1:2" x14ac:dyDescent="0.25">
      <c r="A17" s="22" t="s">
        <v>52</v>
      </c>
      <c r="B17" s="23">
        <f>SUM(B15:F15)</f>
        <v>17707900082.95452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4433072116.690967</v>
      </c>
    </row>
    <row r="5" spans="1:2" x14ac:dyDescent="0.25">
      <c r="A5" t="s">
        <v>56</v>
      </c>
      <c r="B5" s="18">
        <f>IF(Assumptions!$B$33=0,B4,B4-Forecast!F11-Forecast!F10-Forecast!F12)</f>
        <v>5200143513.228498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0.16290237852520906</v>
      </c>
    </row>
    <row r="7" spans="1:2" x14ac:dyDescent="0.25">
      <c r="A7" t="s">
        <v>58</v>
      </c>
      <c r="B7" s="18">
        <f>-MAX(Forecast!F9,0)*B6</f>
        <v>-847115746.9773593</v>
      </c>
    </row>
    <row r="8" spans="1:2" x14ac:dyDescent="0.25">
      <c r="A8" t="s">
        <v>59</v>
      </c>
      <c r="B8" s="18">
        <f>IF(OR(Assumptions!$B$33=0,Assumptions!B12&lt;=0),B5,MAX(B5+B7,0))</f>
        <v>4353027766.251139</v>
      </c>
    </row>
    <row r="9" spans="1:2" x14ac:dyDescent="0.25">
      <c r="A9" t="s">
        <v>60</v>
      </c>
      <c r="B9" s="18">
        <f>B8*(1+Assumptions!B12)/(Assumptions!B26-Assumptions!B12)</f>
        <v>132043466845.59766</v>
      </c>
    </row>
    <row r="10" spans="1:2" x14ac:dyDescent="0.25">
      <c r="A10" t="s">
        <v>61</v>
      </c>
      <c r="B10" s="18">
        <f>B9/(1+Assumptions!B26)^(5-0.5*Assumptions!B32)</f>
        <v>102110691139.09796</v>
      </c>
    </row>
    <row r="11" spans="1:2" x14ac:dyDescent="0.25">
      <c r="A11" t="s">
        <v>62</v>
      </c>
      <c r="B11" s="18">
        <f>Forecast!B17+B10</f>
        <v>119818591222.05249</v>
      </c>
    </row>
    <row r="12" spans="1:2" x14ac:dyDescent="0.25">
      <c r="A12" t="s">
        <v>63</v>
      </c>
      <c r="B12" s="18">
        <f>-Assumptions!B30</f>
        <v>-18086000000</v>
      </c>
    </row>
    <row r="13" spans="1:2" x14ac:dyDescent="0.25">
      <c r="A13" t="s">
        <v>64</v>
      </c>
      <c r="B13" s="18">
        <f>B11+B12</f>
        <v>101732591222.05249</v>
      </c>
    </row>
    <row r="14" spans="1:2" x14ac:dyDescent="0.25">
      <c r="A14" s="19" t="s">
        <v>65</v>
      </c>
      <c r="B14" s="24">
        <f>B13/Assumptions!B31</f>
        <v>263.0788498113589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9117875089.969862</v>
      </c>
    </row>
    <row r="18" spans="1:2" x14ac:dyDescent="0.25">
      <c r="A18" t="s">
        <v>60</v>
      </c>
      <c r="B18" s="18">
        <f>B17*Assumptions!B13</f>
        <v>67359368794.24791</v>
      </c>
    </row>
    <row r="19" spans="1:2" x14ac:dyDescent="0.25">
      <c r="A19" t="s">
        <v>61</v>
      </c>
      <c r="B19" s="18">
        <f>B18/(1+Assumptions!B26)^(5-0.5*Assumptions!B32)</f>
        <v>52089753977.1265</v>
      </c>
    </row>
    <row r="20" spans="1:2" x14ac:dyDescent="0.25">
      <c r="A20" t="s">
        <v>62</v>
      </c>
      <c r="B20" s="18">
        <f>Forecast!B17+B19</f>
        <v>69797654060.08102</v>
      </c>
    </row>
    <row r="21" spans="1:2" x14ac:dyDescent="0.25">
      <c r="A21" t="s">
        <v>63</v>
      </c>
      <c r="B21" s="18">
        <f>-Assumptions!B30</f>
        <v>-18086000000</v>
      </c>
    </row>
    <row r="22" spans="1:2" x14ac:dyDescent="0.25">
      <c r="A22" t="s">
        <v>64</v>
      </c>
      <c r="B22" s="18">
        <f>B20+B21</f>
        <v>51711654060.081024</v>
      </c>
    </row>
    <row r="23" spans="1:2" x14ac:dyDescent="0.25">
      <c r="A23" s="19" t="s">
        <v>65</v>
      </c>
      <c r="B23" s="25">
        <f>B22/Assumptions!B31</f>
        <v>133.72550830121807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263.0788498113589</v>
      </c>
    </row>
    <row r="29" spans="1:2" x14ac:dyDescent="0.25">
      <c r="A29" s="19" t="s">
        <v>73</v>
      </c>
      <c r="B29" s="12">
        <f>B28/B26-1</f>
        <v>1.6482670607143035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0.038791</v>
      </c>
      <c r="B5" s="31">
        <v>437.4090495459965</v>
      </c>
      <c r="C5" s="31">
        <v>536.1468544383267</v>
      </c>
      <c r="D5" s="31">
        <v>706.2128000195555</v>
      </c>
      <c r="E5" s="31">
        <v>1069.3134168702184</v>
      </c>
      <c r="F5" s="31">
        <v>2389.2366419572136</v>
      </c>
    </row>
    <row r="6" spans="1:6" x14ac:dyDescent="0.25">
      <c r="A6" s="30">
        <v>0.048791</v>
      </c>
      <c r="B6" s="31">
        <v>294.2397920054203</v>
      </c>
      <c r="C6" s="31">
        <v>334.49339234267063</v>
      </c>
      <c r="D6" s="31">
        <v>391.5180454748031</v>
      </c>
      <c r="E6" s="31">
        <v>478.70131948884017</v>
      </c>
      <c r="F6" s="31">
        <v>628.8457169754978</v>
      </c>
    </row>
    <row r="7" spans="1:6" x14ac:dyDescent="0.25">
      <c r="A7" s="30">
        <v>0.058791</v>
      </c>
      <c r="B7" s="31">
        <v>216.49618100743</v>
      </c>
      <c r="C7" s="31">
        <v>236.82821406096173</v>
      </c>
      <c r="D7" s="32">
        <v>263.07697818504323</v>
      </c>
      <c r="E7" s="31">
        <v>298.32506745623516</v>
      </c>
      <c r="F7" s="31">
        <v>348.2464710808192</v>
      </c>
    </row>
    <row r="8" spans="1:6" x14ac:dyDescent="0.25">
      <c r="A8" s="30">
        <v>0.068791</v>
      </c>
      <c r="B8" s="31">
        <v>167.68754300882668</v>
      </c>
      <c r="C8" s="31">
        <v>179.21134742086596</v>
      </c>
      <c r="D8" s="31">
        <v>193.29253361868382</v>
      </c>
      <c r="E8" s="31">
        <v>210.92000951356613</v>
      </c>
      <c r="F8" s="31">
        <v>233.6679914783919</v>
      </c>
    </row>
    <row r="9" spans="1:6" x14ac:dyDescent="0.25">
      <c r="A9" s="30">
        <v>0.078791</v>
      </c>
      <c r="B9" s="31">
        <v>134.20470114958476</v>
      </c>
      <c r="C9" s="31">
        <v>141.20610983125215</v>
      </c>
      <c r="D9" s="31">
        <v>149.45121433264583</v>
      </c>
      <c r="E9" s="31">
        <v>159.32236872103033</v>
      </c>
      <c r="F9" s="31">
        <v>171.37655384417928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64511000000</v>
      </c>
      <c r="C5" s="18">
        <v>60717000000</v>
      </c>
      <c r="D5" s="18">
        <v>60124000000</v>
      </c>
      <c r="E5" s="18">
        <v>57048000000</v>
      </c>
      <c r="F5" s="8" t="s">
        <v>84</v>
      </c>
    </row>
    <row r="6" spans="1:6" x14ac:dyDescent="0.25">
      <c r="A6" t="s">
        <v>44</v>
      </c>
      <c r="B6" s="18">
        <v>5100000000</v>
      </c>
      <c r="C6" s="18">
        <v>3948000000</v>
      </c>
      <c r="D6" s="18">
        <v>4363000000</v>
      </c>
      <c r="E6" s="18">
        <v>4553000000</v>
      </c>
      <c r="F6" s="8" t="s">
        <v>85</v>
      </c>
    </row>
    <row r="7" spans="1:6" x14ac:dyDescent="0.25">
      <c r="A7" t="s">
        <v>86</v>
      </c>
      <c r="B7" s="18">
        <v>2380000000</v>
      </c>
      <c r="C7" s="18">
        <v>2610000000</v>
      </c>
      <c r="D7" s="18">
        <v>2530000000</v>
      </c>
      <c r="E7" s="18">
        <v>2407000000</v>
      </c>
      <c r="F7" s="8" t="s">
        <v>87</v>
      </c>
    </row>
    <row r="8" spans="1:6" x14ac:dyDescent="0.25">
      <c r="A8" t="s">
        <v>88</v>
      </c>
      <c r="B8" s="18">
        <v>2411000000</v>
      </c>
      <c r="C8" s="18">
        <v>2395000000</v>
      </c>
      <c r="D8" s="18">
        <v>2342000000</v>
      </c>
      <c r="E8" s="18">
        <v>1865000000</v>
      </c>
      <c r="F8" s="8" t="s">
        <v>89</v>
      </c>
    </row>
    <row r="9" spans="1:6" x14ac:dyDescent="0.25">
      <c r="A9" t="s">
        <v>90</v>
      </c>
      <c r="B9" s="18">
        <v>606000000</v>
      </c>
      <c r="C9" s="18">
        <v>-334000000</v>
      </c>
      <c r="D9" s="18">
        <v>236000000</v>
      </c>
      <c r="E9" s="18">
        <v>1097000000</v>
      </c>
      <c r="F9" s="8" t="s">
        <v>91</v>
      </c>
    </row>
    <row r="10" spans="1:6" x14ac:dyDescent="0.25">
      <c r="A10" t="s">
        <v>92</v>
      </c>
      <c r="B10" s="18">
        <v>19579000000</v>
      </c>
      <c r="C10" s="18">
        <v>22206000000</v>
      </c>
      <c r="D10" s="18">
        <v>21302000000</v>
      </c>
      <c r="E10" s="18">
        <v>20650000000</v>
      </c>
      <c r="F10" s="8" t="s">
        <v>93</v>
      </c>
    </row>
    <row r="11" spans="1:6" x14ac:dyDescent="0.25">
      <c r="A11" t="s">
        <v>94</v>
      </c>
      <c r="B11" s="18">
        <v>1493000000</v>
      </c>
      <c r="C11" s="18">
        <v>2696000000</v>
      </c>
      <c r="D11" s="18">
        <v>2923000000</v>
      </c>
      <c r="E11" s="18">
        <v>2816000000</v>
      </c>
      <c r="F11" s="8" t="s">
        <v>95</v>
      </c>
    </row>
    <row r="12" spans="1:6" x14ac:dyDescent="0.25">
      <c r="A12" t="s">
        <v>32</v>
      </c>
      <c r="B12" s="34">
        <v>386700000</v>
      </c>
      <c r="C12" s="34">
        <v>398700000</v>
      </c>
      <c r="D12" s="34">
        <v>414000000</v>
      </c>
      <c r="E12" s="34">
        <v>434400000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2026-09-19T00:06:19Z</dcterms:modified>
</cp:coreProperties>
</file>