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<sst xmlns="http://schemas.openxmlformats.org/spreadsheetml/2006/main" count="115" uniqueCount="103">
  <si>
    <t>Wheaton Precious Metals Corp. (WPM.TO)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</si>
  <si>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</si>
  <si>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</si>
  <si>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</si>
  <si>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</si>
  <si>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</si>
  <si>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</si>
  <si>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</si>
  <si>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</si>
  <si>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</si>
  <si>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</si>
  <si>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</si>
  <si>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</si>
  <si>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</si>
  <si>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</si>
  <si>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</si>
  <si>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CAD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</si>
  <si>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</si>
  <si>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</si>
  <si>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</si>
  <si>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</si>
  <si>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</si>
  <si>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</si>
  <si>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</si>
  <si>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</si>
  <si>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</si>
  <si>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</si>
  <si>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</si>
  <si>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</si>
  <si>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</si>
  <si>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</si>
  <si>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</si>
  <si>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</si>
  <si>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</si>
  <si>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</si>
  <si>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</si>
  <si>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</si>
  <si>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</si>
  <si>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</si>
  <si>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</si>
  <si>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</si>
  <si>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</si>
  <si>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</si>
  <si>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</si>
  <si>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</si>
  <si>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</si>
  <si>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</si>
  <si>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</si>
  <si>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</si>
  <si>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</si>
  <si>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</si>
  <si>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</si>
  <si>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</si>
  <si>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</si>
  <si>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</si>
  <si>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</si>
  <si>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</si>
  <si>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</si>
  <si>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</si>
  <si>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</si>
  <si>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</si>
  <si>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</si>
  <si>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</si>
  <si>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</si>
  <si>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</si>
  <si>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</si>
  <si>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</si>
  <si>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</si>
  <si>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</si>
  <si>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(CAD)</t>
  </si>
  <si>
    <t>Conversion, USD to CAD</t>
  </si>
  <si>
    <t>USD/CAD at 1.3982</t>
  </si>
  <si>
    <t>Value per share (CAD)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</si>
  <si>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</si>
  <si>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</si>
  <si>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</si>
  <si>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</si>
  <si>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</si>
  <si>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</si>
  <si>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</si>
  <si>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</si>
  <si>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</si>
  <si>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</si>
  <si>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</si>
  <si>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</si>
  <si>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</si>
  <si>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</si>
  <si>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</si>
  <si>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</si>
  <si>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</si>
  <si>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</si>
  <si>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</si>
  <si>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</si>
  <si>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</si>
  <si>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</si>
  <si>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</si>
  <si>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</si>
  <si>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</si>
  <si>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Reports in USD, trades in CAD. Modelled in USD, converted at the end.</t>
  </si>
  <si>
    <t>Adjusted: Capital expenditure runs at 47.5% of revenue against depreciation of 10.8%.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</si>
  <si>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CAD assumption - no free live source available for this market.</t>
  </si>
  <si>
    <t>Current EV/EBITDA of 59.8x sits outside a defensible 3-20x band, so the exit multiple is capped at 20.0x. A multiple that far out usually means EBITDA is the wrong denominator for this business.</t>
  </si>
  <si>
    <t>Data: Yahoo Finance. Risk-free rate: CAD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</si>
</sst>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0.2952936692748307</v>
      </c>
    </row>
    <row r="7" spans="1:2" x14ac:dyDescent="0.25">
      <c r="A7" t="s">
        <v>5</v>
      </c>
      <c r="B7" s="6">
        <v>0.5552973527362287</v>
      </c>
    </row>
    <row r="8" spans="1:2" x14ac:dyDescent="0.25">
      <c r="A8" t="s">
        <v>6</v>
      </c>
      <c r="B8" s="6">
        <v>0.06796023262767774</v>
      </c>
    </row>
    <row r="9" spans="1:2" x14ac:dyDescent="0.25">
      <c r="A9" t="s">
        <v>7</v>
      </c>
      <c r="B9" s="6">
        <v>0.1083500779060581</v>
      </c>
    </row>
    <row r="10" spans="1:2" x14ac:dyDescent="0.25">
      <c r="A10" t="s">
        <v>8</v>
      </c>
      <c r="B10" s="6">
        <v>0.47531074080947433</v>
      </c>
    </row>
    <row r="11" spans="1:2" x14ac:dyDescent="0.25">
      <c r="A11" t="s">
        <v>9</v>
      </c>
      <c r="B11" s="6">
        <v>0.029525389796312675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0.09809385172132364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0.033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1.18358</v>
      </c>
      <c r="C19" s="8" t="s">
        <v>19</v>
      </c>
    </row>
    <row r="20" spans="1:2" x14ac:dyDescent="0.25">
      <c r="A20" t="s">
        <v>20</v>
      </c>
      <c r="B20" s="10">
        <f>B17+B19*B18</f>
        <v>0.0980969</v>
      </c>
    </row>
    <row r="21" spans="1:3" x14ac:dyDescent="0.25">
      <c r="A21" t="s">
        <v>21</v>
      </c>
      <c r="B21" s="6">
        <v>0.06561639645151422</v>
      </c>
      <c r="C21" s="8" t="s">
        <v>22</v>
      </c>
    </row>
    <row r="22" spans="1:2" x14ac:dyDescent="0.25">
      <c r="A22" t="s">
        <v>23</v>
      </c>
      <c r="B22" s="11">
        <v>95786876928</v>
      </c>
    </row>
    <row r="23" spans="1:2" x14ac:dyDescent="0.25">
      <c r="A23" t="s">
        <v>24</v>
      </c>
      <c r="B23" s="11">
        <v>7905000</v>
      </c>
    </row>
    <row r="24" spans="1:2" x14ac:dyDescent="0.25">
      <c r="A24" t="s">
        <v>25</v>
      </c>
      <c r="B24" s="10">
        <f>B22/(B22+B23)</f>
        <v>0.9999174798476399</v>
      </c>
    </row>
    <row r="25" spans="1:2" x14ac:dyDescent="0.25">
      <c r="A25" t="s">
        <v>26</v>
      </c>
      <c r="B25" s="10">
        <f>1-B24</f>
        <v>0.00008252015236009935</v>
      </c>
    </row>
    <row r="26" spans="1:2" x14ac:dyDescent="0.25">
      <c r="A26" t="s">
        <v>27</v>
      </c>
      <c r="B26" s="12">
        <f>B24*B20+B25*B21*(1-B8)</f>
        <v>0.09809385172132364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2314600000</v>
      </c>
      <c r="C29" s="8" t="s">
        <v>30</v>
      </c>
    </row>
    <row r="30" spans="1:2" x14ac:dyDescent="0.25">
      <c r="A30" t="s">
        <v>31</v>
      </c>
      <c r="B30" s="11">
        <v>-1145688000</v>
      </c>
    </row>
    <row r="31" spans="1:2" x14ac:dyDescent="0.25">
      <c r="A31" t="s">
        <v>32</v>
      </c>
      <c r="B31" s="13">
        <v>454685000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0.2952936692748307</v>
      </c>
      <c r="C5" s="10">
        <f>Assumptions!B6</f>
        <v>0.2952936692748307</v>
      </c>
      <c r="D5" s="10">
        <f>Assumptions!B6</f>
        <v>0.2952936692748307</v>
      </c>
      <c r="E5" s="10">
        <f>Assumptions!B6</f>
        <v>0.2952936692748307</v>
      </c>
      <c r="F5" s="10">
        <f>Assumptions!B6</f>
        <v>0.2952936692748307</v>
      </c>
    </row>
    <row r="6" spans="1:6" x14ac:dyDescent="0.25">
      <c r="A6" t="s">
        <v>43</v>
      </c>
      <c r="B6" s="18">
        <f>Assumptions!B29*(1+B5)</f>
        <v>2998086726.903523</v>
      </c>
      <c r="C6" s="18">
        <f>B6*(1+C5)</f>
        <v>3883402757.2950315</v>
      </c>
      <c r="D6" s="18">
        <f>C6*(1+D5)</f>
        <v>5030147006.768676</v>
      </c>
      <c r="E6" s="18">
        <f>D6*(1+E5)</f>
        <v>6515517573.389205</v>
      </c>
      <c r="F6" s="18">
        <f>E6*(1+F5)</f>
        <v>8439508664.859944</v>
      </c>
    </row>
    <row r="7" spans="1:6" x14ac:dyDescent="0.25">
      <c r="A7" t="s">
        <v>5</v>
      </c>
      <c r="B7" s="10">
        <f>Assumptions!B7</f>
        <v>0.5552973527362287</v>
      </c>
      <c r="C7" s="10">
        <f>Assumptions!B7</f>
        <v>0.5552973527362287</v>
      </c>
      <c r="D7" s="10">
        <f>Assumptions!B7</f>
        <v>0.5552973527362287</v>
      </c>
      <c r="E7" s="10">
        <f>Assumptions!B7</f>
        <v>0.5552973527362287</v>
      </c>
      <c r="F7" s="10">
        <f>Assumptions!B7</f>
        <v>0.5552973527362287</v>
      </c>
    </row>
    <row r="8" spans="1:6" x14ac:dyDescent="0.25">
      <c r="A8" t="s">
        <v>44</v>
      </c>
      <c r="B8" s="18">
        <f>B6*B7</f>
        <v>1664829622.723151</v>
      </c>
      <c r="C8" s="18">
        <f>C6*C7</f>
        <v>2156443270.7345023</v>
      </c>
      <c r="D8" s="18">
        <f>D6*D7</f>
        <v>2793227316.7327104</v>
      </c>
      <c r="E8" s="18">
        <f>E6*E7</f>
        <v>3618049660.209402</v>
      </c>
      <c r="F8" s="18">
        <f>F6*F7</f>
        <v>4686436819.991191</v>
      </c>
    </row>
    <row r="9" spans="1:6" x14ac:dyDescent="0.25">
      <c r="A9" t="s">
        <v>45</v>
      </c>
      <c r="B9" s="18">
        <f>B8*(1-Assumptions!B8)</f>
        <v>1551687414.2774367</v>
      </c>
      <c r="C9" s="18">
        <f>C8*(1-Assumptions!B8)</f>
        <v>2009890884.4069953</v>
      </c>
      <c r="D9" s="18">
        <f>D8*(1-Assumptions!B8)</f>
        <v>2603398938.5055714</v>
      </c>
      <c r="E9" s="18">
        <f>E8*(1-Assumptions!B8)</f>
        <v>3372166163.6430807</v>
      </c>
      <c r="F9" s="18">
        <f>F8*(1-Assumptions!B8)</f>
        <v>4367945483.509675</v>
      </c>
    </row>
    <row r="10" spans="1:6" x14ac:dyDescent="0.25">
      <c r="A10" t="s">
        <v>46</v>
      </c>
      <c r="B10" s="18">
        <f>B6*Assumptions!B9</f>
        <v>324842930.4291155</v>
      </c>
      <c r="C10" s="18">
        <f>C6*Assumptions!B9</f>
        <v>420766991.29351753</v>
      </c>
      <c r="D10" s="18">
        <f>D6*Assumptions!B9</f>
        <v>545016820.062311</v>
      </c>
      <c r="E10" s="18">
        <f>E6*Assumptions!B9</f>
        <v>705956836.675011</v>
      </c>
      <c r="F10" s="18">
        <f>F6*Assumptions!B9</f>
        <v>914421421.3264275</v>
      </c>
    </row>
    <row r="11" spans="1:6" x14ac:dyDescent="0.25">
      <c r="A11" t="s">
        <v>47</v>
      </c>
      <c r="B11" s="18">
        <f>-B6*Assumptions!B10</f>
        <v>-1425022823.1755657</v>
      </c>
      <c r="C11" s="18">
        <f>-C6*Assumptions!B10</f>
        <v>-1845823041.4314568</v>
      </c>
      <c r="D11" s="18">
        <f>-D6*Assumptions!B10</f>
        <v>-2390882900.167779</v>
      </c>
      <c r="E11" s="18">
        <f>-E6*Assumptions!B10</f>
        <v>-3096895484.5647717</v>
      </c>
      <c r="F11" s="18">
        <f>-F6*Assumptions!B10</f>
        <v>-4011389115.5625577</v>
      </c>
    </row>
    <row r="12" spans="1:6" x14ac:dyDescent="0.25">
      <c r="A12" t="s">
        <v>48</v>
      </c>
      <c r="B12" s="18">
        <f>-(B6-Assumptions!B29)*Assumptions!B11</f>
        <v>-20180212.032432426</v>
      </c>
      <c r="C12" s="18">
        <f>-(C6-B6)*Assumptions!B11</f>
        <v>-26139300.89023349</v>
      </c>
      <c r="D12" s="18">
        <f>-(D6-C6)*Assumptions!B11</f>
        <v>-33858070.96238937</v>
      </c>
      <c r="E12" s="18">
        <f>-(E6-D6)*Assumptions!B11</f>
        <v>-43856144.97144095</v>
      </c>
      <c r="F12" s="18">
        <f>-(F6-E6)*Assumptions!B11</f>
        <v>-56806586.940306656</v>
      </c>
    </row>
    <row r="13" spans="1:6" x14ac:dyDescent="0.25">
      <c r="A13" s="19" t="s">
        <v>49</v>
      </c>
      <c r="B13" s="20">
        <f>B9+B10+B11+B12</f>
        <v>431327309.4985541</v>
      </c>
      <c r="C13" s="20">
        <f>C9+C10+C11+C12</f>
        <v>558695533.3788226</v>
      </c>
      <c r="D13" s="20">
        <f>D9+D10+D11+D12</f>
        <v>723674787.4377142</v>
      </c>
      <c r="E13" s="20">
        <f>E9+E10+E11+E12</f>
        <v>937371370.7818793</v>
      </c>
      <c r="F13" s="20">
        <f>F9+F10+F11+F12</f>
        <v>1214171202.3332381</v>
      </c>
    </row>
    <row r="14" spans="1:6" x14ac:dyDescent="0.25">
      <c r="A14" t="s">
        <v>50</v>
      </c>
      <c r="B14" s="21">
        <f>1/(1+Assumptions!$B$26)^(1-0.5*Assumptions!$B$32)</f>
        <v>0.954289774027581</v>
      </c>
      <c r="C14" s="21">
        <f>1/(1+Assumptions!$B$26)^(2-0.5*Assumptions!$B$32)</f>
        <v>0.8690420882802306</v>
      </c>
      <c r="D14" s="21">
        <f>1/(1+Assumptions!$B$26)^(3-0.5*Assumptions!$B$32)</f>
        <v>0.7914096658659534</v>
      </c>
      <c r="E14" s="21">
        <f>1/(1+Assumptions!$B$26)^(4-0.5*Assumptions!$B$32)</f>
        <v>0.7207122274889113</v>
      </c>
      <c r="F14" s="21">
        <f>1/(1+Assumptions!$B$26)^(5-0.5*Assumptions!$B$32)</f>
        <v>0.6563302639015366</v>
      </c>
    </row>
    <row r="15" spans="1:6" x14ac:dyDescent="0.25">
      <c r="A15" s="19" t="s">
        <v>51</v>
      </c>
      <c r="B15" s="20">
        <f>B13*B14</f>
        <v>411611240.7132997</v>
      </c>
      <c r="C15" s="20">
        <f>C13*C14</f>
        <v>485529933.0403692</v>
      </c>
      <c r="D15" s="20">
        <f>D13*D14</f>
        <v>572723221.7216963</v>
      </c>
      <c r="E15" s="20">
        <f>E13*E14</f>
        <v>675575008.6205424</v>
      </c>
      <c r="F15" s="20">
        <f>F13*F14</f>
        <v>796897305.6490202</v>
      </c>
    </row>
    <row r="17" spans="1:2" x14ac:dyDescent="0.25">
      <c r="A17" s="22" t="s">
        <v>52</v>
      </c>
      <c r="B17" s="23">
        <f>SUM(B15:F15)</f>
        <v>2942336709.744928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1214171202.3332381</v>
      </c>
    </row>
    <row r="5" spans="1:2" x14ac:dyDescent="0.25">
      <c r="A5" t="s">
        <v>56</v>
      </c>
      <c r="B5" s="18">
        <f>IF(Assumptions!$B$33=0,B4,B4-Forecast!F11-Forecast!F10-Forecast!F12)</f>
        <v>5213892089.794346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0.25485797082392986</v>
      </c>
    </row>
    <row r="7" spans="1:2" x14ac:dyDescent="0.25">
      <c r="A7" t="s">
        <v>58</v>
      </c>
      <c r="B7" s="18">
        <f>-MAX(Forecast!F9,0)*B6</f>
        <v>-1328801958.099926</v>
      </c>
    </row>
    <row r="8" spans="1:2" x14ac:dyDescent="0.25">
      <c r="A8" t="s">
        <v>59</v>
      </c>
      <c r="B8" s="18">
        <f>IF(OR(Assumptions!$B$33=0,Assumptions!B12&lt;=0),B5,MAX(B5+B7,0))</f>
        <v>3885090131.69442</v>
      </c>
    </row>
    <row r="9" spans="1:2" x14ac:dyDescent="0.25">
      <c r="A9" t="s">
        <v>60</v>
      </c>
      <c r="B9" s="18">
        <f>B8*(1+Assumptions!B12)/(Assumptions!B26-Assumptions!B12)</f>
        <v>54480880282.09697</v>
      </c>
    </row>
    <row r="10" spans="1:2" x14ac:dyDescent="0.25">
      <c r="A10" t="s">
        <v>61</v>
      </c>
      <c r="B10" s="18">
        <f>B9/(1+Assumptions!B26)^(5-0.5*Assumptions!B32)</f>
        <v>35757450533.13673</v>
      </c>
    </row>
    <row r="11" spans="1:2" x14ac:dyDescent="0.25">
      <c r="A11" t="s">
        <v>62</v>
      </c>
      <c r="B11" s="18">
        <f>Forecast!B17+B10</f>
        <v>38699787242.88165</v>
      </c>
    </row>
    <row r="12" spans="1:2" x14ac:dyDescent="0.25">
      <c r="A12" t="s">
        <v>63</v>
      </c>
      <c r="B12" s="18">
        <f>-Assumptions!B30</f>
        <v>1145688000</v>
      </c>
    </row>
    <row r="13" spans="1:2" x14ac:dyDescent="0.25">
      <c r="A13" t="s">
        <v>64</v>
      </c>
      <c r="B13" s="18">
        <f>B11+B12</f>
        <v>39845475242.88165</v>
      </c>
    </row>
    <row r="14" spans="1:2" x14ac:dyDescent="0.25">
      <c r="A14" s="19" t="s">
        <v>65</v>
      </c>
      <c r="B14" s="24">
        <f>B13/Assumptions!B31</f>
        <v>87.6331421596966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5600858241.317618</v>
      </c>
    </row>
    <row r="18" spans="1:2" x14ac:dyDescent="0.25">
      <c r="A18" t="s">
        <v>60</v>
      </c>
      <c r="B18" s="18">
        <f>B17*Assumptions!B13</f>
        <v>112017164826.35237</v>
      </c>
    </row>
    <row r="19" spans="1:2" x14ac:dyDescent="0.25">
      <c r="A19" t="s">
        <v>61</v>
      </c>
      <c r="B19" s="18">
        <f>B18/(1+Assumptions!B26)^(5-0.5*Assumptions!B32)</f>
        <v>73520255351.98178</v>
      </c>
    </row>
    <row r="20" spans="1:2" x14ac:dyDescent="0.25">
      <c r="A20" t="s">
        <v>62</v>
      </c>
      <c r="B20" s="18">
        <f>Forecast!B17+B19</f>
        <v>76462592061.72672</v>
      </c>
    </row>
    <row r="21" spans="1:2" x14ac:dyDescent="0.25">
      <c r="A21" t="s">
        <v>63</v>
      </c>
      <c r="B21" s="18">
        <f>-Assumptions!B30</f>
        <v>1145688000</v>
      </c>
    </row>
    <row r="22" spans="1:2" x14ac:dyDescent="0.25">
      <c r="A22" t="s">
        <v>64</v>
      </c>
      <c r="B22" s="18">
        <f>B20+B21</f>
        <v>77608280061.72672</v>
      </c>
    </row>
    <row r="23" spans="1:2" x14ac:dyDescent="0.25">
      <c r="A23" s="19" t="s">
        <v>65</v>
      </c>
      <c r="B23" s="25">
        <f>B22/Assumptions!B31</f>
        <v>170.68581559041252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210.91</v>
      </c>
    </row>
    <row r="27" spans="1:3" x14ac:dyDescent="0.25">
      <c r="A27" t="s">
        <v>70</v>
      </c>
      <c r="B27" s="27">
        <v>1.3982</v>
      </c>
      <c r="C27" s="8" t="s">
        <v>71</v>
      </c>
    </row>
    <row r="28" spans="1:2" x14ac:dyDescent="0.25">
      <c r="A28" t="s">
        <v>72</v>
      </c>
      <c r="B28" s="28">
        <f>B14*B27</f>
        <v>122.5286593676878</v>
      </c>
    </row>
    <row r="29" spans="1:2" x14ac:dyDescent="0.25">
      <c r="A29" s="19" t="s">
        <v>73</v>
      </c>
      <c r="B29" s="12">
        <f>B28/B26-1</f>
        <v>-0.4190476536546973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0.078094</v>
      </c>
      <c r="B5" s="31">
        <v>116.72406888112423</v>
      </c>
      <c r="C5" s="31">
        <v>117.7627770128275</v>
      </c>
      <c r="D5" s="31">
        <v>118.90295506632897</v>
      </c>
      <c r="E5" s="31">
        <v>120.17625041608231</v>
      </c>
      <c r="F5" s="31">
        <v>121.62899803780984</v>
      </c>
    </row>
    <row r="6" spans="1:6" x14ac:dyDescent="0.25">
      <c r="A6" s="30">
        <v>0.088094</v>
      </c>
      <c r="B6" s="31">
        <v>99.5201138202373</v>
      </c>
      <c r="C6" s="31">
        <v>99.96523290555976</v>
      </c>
      <c r="D6" s="31">
        <v>100.41035199088215</v>
      </c>
      <c r="E6" s="31">
        <v>100.85547107620458</v>
      </c>
      <c r="F6" s="31">
        <v>101.300590161527</v>
      </c>
    </row>
    <row r="7" spans="1:6" x14ac:dyDescent="0.25">
      <c r="A7" s="30">
        <v>0.098094</v>
      </c>
      <c r="B7" s="31">
        <v>86.8657332097798</v>
      </c>
      <c r="C7" s="31">
        <v>87.24935311875852</v>
      </c>
      <c r="D7" s="32">
        <v>87.63297302773722</v>
      </c>
      <c r="E7" s="31">
        <v>88.01659293671592</v>
      </c>
      <c r="F7" s="31">
        <v>88.40021284569461</v>
      </c>
    </row>
    <row r="8" spans="1:6" x14ac:dyDescent="0.25">
      <c r="A8" s="30">
        <v>0.108094</v>
      </c>
      <c r="B8" s="31">
        <v>76.67320242824859</v>
      </c>
      <c r="C8" s="31">
        <v>77.00741679335046</v>
      </c>
      <c r="D8" s="31">
        <v>77.3416311584523</v>
      </c>
      <c r="E8" s="31">
        <v>77.67584552355416</v>
      </c>
      <c r="F8" s="31">
        <v>78.010059888656</v>
      </c>
    </row>
    <row r="9" spans="1:6" x14ac:dyDescent="0.25">
      <c r="A9" s="30">
        <v>0.118094</v>
      </c>
      <c r="B9" s="31">
        <v>68.31091435288238</v>
      </c>
      <c r="C9" s="31">
        <v>68.6047071584266</v>
      </c>
      <c r="D9" s="31">
        <v>68.8984999639708</v>
      </c>
      <c r="E9" s="31">
        <v>69.19229276951505</v>
      </c>
      <c r="F9" s="31">
        <v>69.48608557505929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2314600000</v>
      </c>
      <c r="C5" s="18">
        <v>1284639000</v>
      </c>
      <c r="D5" s="18">
        <v>1016045000</v>
      </c>
      <c r="E5" s="18">
        <v>1065053000</v>
      </c>
      <c r="F5" s="8" t="s">
        <v>84</v>
      </c>
    </row>
    <row r="6" spans="1:6" x14ac:dyDescent="0.25">
      <c r="A6" t="s">
        <v>44</v>
      </c>
      <c r="B6" s="18">
        <v>1581641000</v>
      </c>
      <c r="C6" s="18">
        <v>729693000</v>
      </c>
      <c r="D6" s="18">
        <v>505270000</v>
      </c>
      <c r="E6" s="18">
        <v>503293000</v>
      </c>
      <c r="F6" s="8" t="s">
        <v>85</v>
      </c>
    </row>
    <row r="7" spans="1:6" x14ac:dyDescent="0.25">
      <c r="A7" t="s">
        <v>86</v>
      </c>
      <c r="B7" s="18">
        <v>1277000</v>
      </c>
      <c r="C7" s="18">
        <v>1359000</v>
      </c>
      <c r="D7" s="18">
        <v>215926000</v>
      </c>
      <c r="E7" s="18">
        <v>233539000</v>
      </c>
      <c r="F7" s="8" t="s">
        <v>87</v>
      </c>
    </row>
    <row r="8" spans="1:6" x14ac:dyDescent="0.25">
      <c r="A8" t="s">
        <v>88</v>
      </c>
      <c r="B8" s="18">
        <v>1341369000</v>
      </c>
      <c r="C8" s="18">
        <v>658329000</v>
      </c>
      <c r="D8" s="18">
        <v>675871000</v>
      </c>
      <c r="E8" s="18">
        <v>153429000</v>
      </c>
      <c r="F8" s="8" t="s">
        <v>89</v>
      </c>
    </row>
    <row r="9" spans="1:6" x14ac:dyDescent="0.25">
      <c r="A9" t="s">
        <v>90</v>
      </c>
      <c r="B9" s="18">
        <v>30410000</v>
      </c>
      <c r="C9" s="18">
        <v>-4426000</v>
      </c>
      <c r="D9" s="18">
        <v>-1912000</v>
      </c>
      <c r="E9" s="18">
        <v>-1573000</v>
      </c>
      <c r="F9" s="8" t="s">
        <v>91</v>
      </c>
    </row>
    <row r="10" spans="1:6" x14ac:dyDescent="0.25">
      <c r="A10" t="s">
        <v>92</v>
      </c>
      <c r="B10" s="18">
        <v>7905000</v>
      </c>
      <c r="C10" s="18">
        <v>5171000</v>
      </c>
      <c r="D10" s="18">
        <v>6229000</v>
      </c>
      <c r="E10" s="18">
        <v>1970000</v>
      </c>
      <c r="F10" s="8" t="s">
        <v>93</v>
      </c>
    </row>
    <row r="11" spans="1:6" x14ac:dyDescent="0.25">
      <c r="A11" t="s">
        <v>94</v>
      </c>
      <c r="B11" s="18">
        <v>1153593000</v>
      </c>
      <c r="C11" s="18">
        <v>818166000</v>
      </c>
      <c r="D11" s="18">
        <v>546527000</v>
      </c>
      <c r="E11" s="18">
        <v>696089000</v>
      </c>
      <c r="F11" s="8" t="s">
        <v>95</v>
      </c>
    </row>
    <row r="12" spans="1:6" x14ac:dyDescent="0.25">
      <c r="A12" t="s">
        <v>32</v>
      </c>
      <c r="B12" s="34">
        <v>454685000</v>
      </c>
      <c r="C12" s="34">
        <v>454119000</v>
      </c>
      <c r="D12" s="34">
        <v>453463000</v>
      </c>
      <c r="E12" s="34">
        <v>452344000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8" ht="22" customHeight="1" spans="1:6" x14ac:dyDescent="0.25">
      <c r="A18" s="35" t="s">
        <v>100</v>
      </c>
      <c r="B18" s="35"/>
      <c r="C18" s="35"/>
      <c r="D18" s="35"/>
      <c r="E18" s="35"/>
      <c r="F18" s="35"/>
    </row>
    <row r="19" ht="38" customHeight="1" spans="1:6" x14ac:dyDescent="0.25">
      <c r="A19" s="35" t="s">
        <v>101</v>
      </c>
      <c r="B19" s="35"/>
      <c r="C19" s="35"/>
      <c r="D19" s="35"/>
      <c r="E19" s="35"/>
      <c r="F19" s="35"/>
    </row>
    <row r="21" spans="1:1" x14ac:dyDescent="0.25">
      <c r="A21" s="36" t="s">
        <v>102</v>
      </c>
    </row>
  </sheetData>
  <mergeCells count="4">
    <mergeCell ref="A16:F16"/>
    <mergeCell ref="A17:F17"/>
    <mergeCell ref="A18:F18"/>
    <mergeCell ref="A19:F1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2026-09-19T00:07:08Z</dcterms:modified>
</cp:coreProperties>
</file>