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<sst xmlns="http://schemas.openxmlformats.org/spreadsheetml/2006/main" count="115" uniqueCount="103">
  <si>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W. R. Berkley Corporation (WRB)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</si>
  <si>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</si>
  <si>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</si>
  <si>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</si>
  <si>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</si>
  <si>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</si>
  <si>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</si>
  <si>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</si>
  <si>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</si>
  <si>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</si>
  <si>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</si>
  <si>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</si>
  <si>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</si>
  <si>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</si>
  <si>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</si>
  <si>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</si>
  <si>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</si>
  <si>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</si>
  <si>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</si>
  <si>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</si>
  <si>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</si>
  <si>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</si>
  <si>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</si>
  <si>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</si>
  <si>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</si>
  <si>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</si>
  <si>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</si>
  <si>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</si>
  <si>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</si>
  <si>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</si>
  <si>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</si>
  <si>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</si>
  <si>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</si>
  <si>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</si>
  <si>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</si>
  <si>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</si>
  <si>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</si>
  <si>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</si>
  <si>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</si>
  <si>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</si>
  <si>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</si>
  <si>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</si>
  <si>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</si>
  <si>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</si>
  <si>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</si>
  <si>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</si>
  <si>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</si>
  <si>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</si>
  <si>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</si>
  <si>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</si>
  <si>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</si>
  <si>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</si>
  <si>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</si>
  <si>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</si>
  <si>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</si>
  <si>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</si>
  <si>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</si>
  <si>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</si>
  <si>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</si>
  <si>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</si>
  <si>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</si>
  <si>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</si>
  <si>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</si>
  <si>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</si>
  <si>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</si>
  <si>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</si>
  <si>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</si>
  <si>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</si>
  <si>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</si>
  <si>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</si>
  <si>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</si>
  <si>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</si>
  <si>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</si>
  <si>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</si>
  <si>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</si>
  <si>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</si>
  <si>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</si>
  <si>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</si>
  <si>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</si>
  <si>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</si>
  <si>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</si>
  <si>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</si>
  <si>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</si>
  <si>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</si>
  <si>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</si>
  <si>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</si>
  <si>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</si>
  <si>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</si>
  <si>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</si>
  <si>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</si>
  <si>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</si>
  <si>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</si>
  <si>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</si>
  <si>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</si>
  <si>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</si>
  <si>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</si>
  <si>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</si>
  <si>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</si>
  <si>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</si>
  <si>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0.71%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</si>
  <si>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-0.3%. A perpetuity has to be a steady state, so the terminal year uses maintenance capex at depreciation and then charges the reinvestment terminal growth requires (g/ROIC of NOPAT). The bridge is shown under Terminal Value.</t>
  </si>
  <si>
    <t>Current EV/EBITDA of 0.6x sits outside a defensible 3-20x band, so the exit multiple is capped at 3.0x.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</si>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</sst>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0.09281781410527334</v>
      </c>
    </row>
    <row r="7" spans="1:2" x14ac:dyDescent="0.25">
      <c r="A7" t="s">
        <v>5</v>
      </c>
      <c r="B7" s="6">
        <v>0.15483449289377776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-0.003123092967821949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0.1426967263352715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0.5196099999999999</v>
      </c>
      <c r="C19" s="8" t="s">
        <v>19</v>
      </c>
    </row>
    <row r="20" spans="1:2" x14ac:dyDescent="0.25">
      <c r="A20" t="s">
        <v>20</v>
      </c>
      <c r="B20" s="10">
        <f>B17+B19*B18</f>
        <v>0.07855855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25982214144</v>
      </c>
    </row>
    <row r="23" spans="1:2" x14ac:dyDescent="0.25">
      <c r="A23" t="s">
        <v>24</v>
      </c>
      <c r="B23" s="11">
        <v>2839725000</v>
      </c>
    </row>
    <row r="24" spans="1:2" x14ac:dyDescent="0.25">
      <c r="A24" t="s">
        <v>25</v>
      </c>
      <c r="B24" s="10">
        <f>B22/(B22+B23)</f>
        <v>0.9014734926122707</v>
      </c>
    </row>
    <row r="25" spans="1:2" x14ac:dyDescent="0.25">
      <c r="A25" t="s">
        <v>26</v>
      </c>
      <c r="B25" s="10">
        <f>1-B24</f>
        <v>0.09852650738772928</v>
      </c>
    </row>
    <row r="26" spans="1:2" x14ac:dyDescent="0.25">
      <c r="A26" t="s">
        <v>27</v>
      </c>
      <c r="B26" s="12">
        <f>B24*B20+B25*B21*(1-B8)</f>
        <v>0.07470869076605428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14639850000</v>
      </c>
      <c r="C29" s="8" t="s">
        <v>30</v>
      </c>
    </row>
    <row r="30" spans="1:2" x14ac:dyDescent="0.25">
      <c r="A30" t="s">
        <v>31</v>
      </c>
      <c r="B30" s="11">
        <v>-24717269000</v>
      </c>
    </row>
    <row r="31" spans="1:2" x14ac:dyDescent="0.25">
      <c r="A31" t="s">
        <v>32</v>
      </c>
      <c r="B31" s="13">
        <v>399861000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0.09281781410527334</v>
      </c>
      <c r="C5" s="10">
        <f>Assumptions!B6</f>
        <v>0.09281781410527334</v>
      </c>
      <c r="D5" s="10">
        <f>Assumptions!B6</f>
        <v>0.09281781410527334</v>
      </c>
      <c r="E5" s="10">
        <f>Assumptions!B6</f>
        <v>0.09281781410527334</v>
      </c>
      <c r="F5" s="10">
        <f>Assumptions!B6</f>
        <v>0.09281781410527334</v>
      </c>
    </row>
    <row r="6" spans="1:6" x14ac:dyDescent="0.25">
      <c r="A6" t="s">
        <v>43</v>
      </c>
      <c r="B6" s="18">
        <f>Assumptions!B29*(1+B5)</f>
        <v>15998688875.829086</v>
      </c>
      <c r="C6" s="18">
        <f>B6*(1+C5)</f>
        <v>17483652205.833897</v>
      </c>
      <c r="D6" s="18">
        <f>C6*(1+D5)</f>
        <v>19106446586.15624</v>
      </c>
      <c r="E6" s="18">
        <f>D6*(1+E5)</f>
        <v>20879865193.602425</v>
      </c>
      <c r="F6" s="18">
        <f>E6*(1+F5)</f>
        <v>22817888639.685383</v>
      </c>
    </row>
    <row r="7" spans="1:6" x14ac:dyDescent="0.25">
      <c r="A7" t="s">
        <v>5</v>
      </c>
      <c r="B7" s="10">
        <f>Assumptions!B7</f>
        <v>0.15483449289377776</v>
      </c>
      <c r="C7" s="10">
        <f>Assumptions!B7</f>
        <v>0.15483449289377776</v>
      </c>
      <c r="D7" s="10">
        <f>Assumptions!B7</f>
        <v>0.15483449289377776</v>
      </c>
      <c r="E7" s="10">
        <f>Assumptions!B7</f>
        <v>0.15483449289377776</v>
      </c>
      <c r="F7" s="10">
        <f>Assumptions!B7</f>
        <v>0.15483449289377776</v>
      </c>
    </row>
    <row r="8" spans="1:6" x14ac:dyDescent="0.25">
      <c r="A8" t="s">
        <v>44</v>
      </c>
      <c r="B8" s="18">
        <f>B6*B7</f>
        <v>2477148879.05432</v>
      </c>
      <c r="C8" s="18">
        <f>C6*C7</f>
        <v>2707072423.2214704</v>
      </c>
      <c r="D8" s="18">
        <f>D6*D7</f>
        <v>2958336968.1695523</v>
      </c>
      <c r="E8" s="18">
        <f>E6*E7</f>
        <v>3232923338.941872</v>
      </c>
      <c r="F8" s="18">
        <f>F6*F7</f>
        <v>3532996216.432379</v>
      </c>
    </row>
    <row r="9" spans="1:6" x14ac:dyDescent="0.25">
      <c r="A9" t="s">
        <v>45</v>
      </c>
      <c r="B9" s="18">
        <f>B8*(1-Assumptions!B8)</f>
        <v>1956947614.4529128</v>
      </c>
      <c r="C9" s="18">
        <f>C8*(1-Assumptions!B8)</f>
        <v>2138587214.3449616</v>
      </c>
      <c r="D9" s="18">
        <f>D8*(1-Assumptions!B8)</f>
        <v>2337086204.853946</v>
      </c>
      <c r="E9" s="18">
        <f>E8*(1-Assumptions!B8)</f>
        <v>2554009437.764079</v>
      </c>
      <c r="F9" s="18">
        <f>F8*(1-Assumptions!B8)</f>
        <v>2791067010.9815793</v>
      </c>
    </row>
    <row r="10" spans="1:6" x14ac:dyDescent="0.25">
      <c r="A10" t="s">
        <v>46</v>
      </c>
      <c r="B10" s="18">
        <f>B6*Assumptions!B9</f>
        <v>-49965392.72247306</v>
      </c>
      <c r="C10" s="18">
        <f>C6*Assumptions!B9</f>
        <v>-54603071.25588455</v>
      </c>
      <c r="D10" s="18">
        <f>D6*Assumptions!B9</f>
        <v>-59671208.973290235</v>
      </c>
      <c r="E10" s="18">
        <f>E6*Assumptions!B9</f>
        <v>-65209760.15521001</v>
      </c>
      <c r="F10" s="18">
        <f>F6*Assumptions!B9</f>
        <v>-71262387.55114576</v>
      </c>
    </row>
    <row r="11" spans="1:6" x14ac:dyDescent="0.25">
      <c r="A11" t="s">
        <v>47</v>
      </c>
      <c r="B11" s="18">
        <f>-B6*Assumptions!B10</f>
        <v>-159986888.75829086</v>
      </c>
      <c r="C11" s="18">
        <f>-C6*Assumptions!B10</f>
        <v>-174836522.05833897</v>
      </c>
      <c r="D11" s="18">
        <f>-D6*Assumptions!B10</f>
        <v>-191064465.8615624</v>
      </c>
      <c r="E11" s="18">
        <f>-E6*Assumptions!B10</f>
        <v>-208798651.93602425</v>
      </c>
      <c r="F11" s="18">
        <f>-F6*Assumptions!B10</f>
        <v>-228178886.39685383</v>
      </c>
    </row>
    <row r="12" spans="1:6" x14ac:dyDescent="0.25">
      <c r="A12" t="s">
        <v>48</v>
      </c>
      <c r="B12" s="18">
        <f>-(B6-Assumptions!B29)*Assumptions!B11</f>
        <v>1358838875.8290863</v>
      </c>
      <c r="C12" s="18">
        <f>-(C6-B6)*Assumptions!B11</f>
        <v>1484963330.0048103</v>
      </c>
      <c r="D12" s="18">
        <f>-(D6-C6)*Assumptions!B11</f>
        <v>1622794380.322342</v>
      </c>
      <c r="E12" s="18">
        <f>-(E6-D6)*Assumptions!B11</f>
        <v>1773418607.446186</v>
      </c>
      <c r="F12" s="18">
        <f>-(F6-E6)*Assumptions!B11</f>
        <v>1938023446.0829582</v>
      </c>
    </row>
    <row r="13" spans="1:6" x14ac:dyDescent="0.25">
      <c r="A13" s="19" t="s">
        <v>49</v>
      </c>
      <c r="B13" s="20">
        <f>B9+B10+B11+B12</f>
        <v>3105834208.801235</v>
      </c>
      <c r="C13" s="20">
        <f>C9+C10+C11+C12</f>
        <v>3394110951.035548</v>
      </c>
      <c r="D13" s="20">
        <f>D9+D10+D11+D12</f>
        <v>3709144910.3414354</v>
      </c>
      <c r="E13" s="20">
        <f>E9+E10+E11+E12</f>
        <v>4053419633.119031</v>
      </c>
      <c r="F13" s="20">
        <f>F9+F10+F11+F12</f>
        <v>4429649183.116538</v>
      </c>
    </row>
    <row r="14" spans="1:6" x14ac:dyDescent="0.25">
      <c r="A14" t="s">
        <v>50</v>
      </c>
      <c r="B14" s="21">
        <f>1/(1+Assumptions!$B$26)^(1-0.5*Assumptions!$B$32)</f>
        <v>0.9646163516384328</v>
      </c>
      <c r="C14" s="21">
        <f>1/(1+Assumptions!$B$26)^(2-0.5*Assumptions!$B$32)</f>
        <v>0.8975607622106904</v>
      </c>
      <c r="D14" s="21">
        <f>1/(1+Assumptions!$B$26)^(3-0.5*Assumptions!$B$32)</f>
        <v>0.8351665618065369</v>
      </c>
      <c r="E14" s="21">
        <f>1/(1+Assumptions!$B$26)^(4-0.5*Assumptions!$B$32)</f>
        <v>0.7771097125968421</v>
      </c>
      <c r="F14" s="21">
        <f>1/(1+Assumptions!$B$26)^(5-0.5*Assumptions!$B$32)</f>
        <v>0.7230887023374836</v>
      </c>
    </row>
    <row r="15" spans="1:6" x14ac:dyDescent="0.25">
      <c r="A15" s="19" t="s">
        <v>51</v>
      </c>
      <c r="B15" s="20">
        <f>B13*B14</f>
        <v>2995938463.2876863</v>
      </c>
      <c r="C15" s="20">
        <f>C13*C14</f>
        <v>3046420812.2391176</v>
      </c>
      <c r="D15" s="20">
        <f>D13*D14</f>
        <v>3097753802.012072</v>
      </c>
      <c r="E15" s="20">
        <f>E13*E14</f>
        <v>3149951766.127527</v>
      </c>
      <c r="F15" s="20">
        <f>F13*F14</f>
        <v>3203029279.6300316</v>
      </c>
    </row>
    <row r="17" spans="1:2" x14ac:dyDescent="0.25">
      <c r="A17" s="22" t="s">
        <v>52</v>
      </c>
      <c r="B17" s="23">
        <f>SUM(B15:F15)</f>
        <v>15493094123.296434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4429649183.116538</v>
      </c>
    </row>
    <row r="5" spans="1:2" x14ac:dyDescent="0.25">
      <c r="A5" t="s">
        <v>56</v>
      </c>
      <c r="B5" s="18">
        <f>IF(Assumptions!$B$33=0,B4,B4-Forecast!F11-Forecast!F10-Forecast!F12)</f>
        <v>2791067010.9815793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0.17519673115178222</v>
      </c>
    </row>
    <row r="7" spans="1:2" x14ac:dyDescent="0.25">
      <c r="A7" t="s">
        <v>58</v>
      </c>
      <c r="B7" s="18">
        <f>-MAX(Forecast!F9,0)*B6</f>
        <v>-488985816.74954814</v>
      </c>
    </row>
    <row r="8" spans="1:2" x14ac:dyDescent="0.25">
      <c r="A8" t="s">
        <v>59</v>
      </c>
      <c r="B8" s="18">
        <f>IF(OR(Assumptions!$B$33=0,Assumptions!B12&lt;=0),B5,MAX(B5+B7,0))</f>
        <v>2302081194.2320313</v>
      </c>
    </row>
    <row r="9" spans="1:2" x14ac:dyDescent="0.25">
      <c r="A9" t="s">
        <v>60</v>
      </c>
      <c r="B9" s="18">
        <f>B8*(1+Assumptions!B12)/(Assumptions!B26-Assumptions!B12)</f>
        <v>47469228976.33846</v>
      </c>
    </row>
    <row r="10" spans="1:2" x14ac:dyDescent="0.25">
      <c r="A10" t="s">
        <v>61</v>
      </c>
      <c r="B10" s="18">
        <f>B9/(1+Assumptions!B26)^(5-0.5*Assumptions!B32)</f>
        <v>34324463181.461452</v>
      </c>
    </row>
    <row r="11" spans="1:2" x14ac:dyDescent="0.25">
      <c r="A11" t="s">
        <v>62</v>
      </c>
      <c r="B11" s="18">
        <f>Forecast!B17+B10</f>
        <v>49817557304.75789</v>
      </c>
    </row>
    <row r="12" spans="1:2" x14ac:dyDescent="0.25">
      <c r="A12" t="s">
        <v>63</v>
      </c>
      <c r="B12" s="18">
        <f>-Assumptions!B30</f>
        <v>24717269000</v>
      </c>
    </row>
    <row r="13" spans="1:2" x14ac:dyDescent="0.25">
      <c r="A13" t="s">
        <v>64</v>
      </c>
      <c r="B13" s="18">
        <f>B11+B12</f>
        <v>74534826304.75789</v>
      </c>
    </row>
    <row r="14" spans="1:2" x14ac:dyDescent="0.25">
      <c r="A14" s="19" t="s">
        <v>65</v>
      </c>
      <c r="B14" s="24">
        <f>B13/Assumptions!B31</f>
        <v>186.4018404014342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3461733828.881233</v>
      </c>
    </row>
    <row r="18" spans="1:2" x14ac:dyDescent="0.25">
      <c r="A18" t="s">
        <v>60</v>
      </c>
      <c r="B18" s="18">
        <f>B17*Assumptions!B13</f>
        <v>10385201486.6437</v>
      </c>
    </row>
    <row r="19" spans="1:2" x14ac:dyDescent="0.25">
      <c r="A19" t="s">
        <v>61</v>
      </c>
      <c r="B19" s="18">
        <f>B18/(1+Assumptions!B26)^(5-0.5*Assumptions!B32)</f>
        <v>7509421866.490498</v>
      </c>
    </row>
    <row r="20" spans="1:2" x14ac:dyDescent="0.25">
      <c r="A20" t="s">
        <v>62</v>
      </c>
      <c r="B20" s="18">
        <f>Forecast!B17+B19</f>
        <v>23002515989.786934</v>
      </c>
    </row>
    <row r="21" spans="1:2" x14ac:dyDescent="0.25">
      <c r="A21" t="s">
        <v>63</v>
      </c>
      <c r="B21" s="18">
        <f>-Assumptions!B30</f>
        <v>24717269000</v>
      </c>
    </row>
    <row r="22" spans="1:2" x14ac:dyDescent="0.25">
      <c r="A22" t="s">
        <v>64</v>
      </c>
      <c r="B22" s="18">
        <f>B20+B21</f>
        <v>47719784989.786934</v>
      </c>
    </row>
    <row r="23" spans="1:2" x14ac:dyDescent="0.25">
      <c r="A23" s="19" t="s">
        <v>65</v>
      </c>
      <c r="B23" s="25">
        <f>B22/Assumptions!B31</f>
        <v>119.3409334488408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69.99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186.4018404014342</v>
      </c>
    </row>
    <row r="29" spans="1:2" x14ac:dyDescent="0.25">
      <c r="A29" s="19" t="s">
        <v>73</v>
      </c>
      <c r="B29" s="12">
        <f>B28/B26-1</f>
        <v>1.6632639005777143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0.054709</v>
      </c>
      <c r="B5" s="31">
        <v>228.09766080840225</v>
      </c>
      <c r="C5" s="31">
        <v>241.2482907766236</v>
      </c>
      <c r="D5" s="31">
        <v>258.7606222231519</v>
      </c>
      <c r="E5" s="31">
        <v>283.28249691311754</v>
      </c>
      <c r="F5" s="31">
        <v>320.14869330567916</v>
      </c>
    </row>
    <row r="6" spans="1:6" x14ac:dyDescent="0.25">
      <c r="A6" s="30">
        <v>0.064709</v>
      </c>
      <c r="B6" s="31">
        <v>197.68042448323374</v>
      </c>
      <c r="C6" s="31">
        <v>204.75623915473483</v>
      </c>
      <c r="D6" s="31">
        <v>213.56752057978505</v>
      </c>
      <c r="E6" s="31">
        <v>224.86427599867488</v>
      </c>
      <c r="F6" s="31">
        <v>239.90141503164028</v>
      </c>
    </row>
    <row r="7" spans="1:6" x14ac:dyDescent="0.25">
      <c r="A7" s="30">
        <v>0.074709</v>
      </c>
      <c r="B7" s="31">
        <v>177.34013854275528</v>
      </c>
      <c r="C7" s="31">
        <v>181.47276001794523</v>
      </c>
      <c r="D7" s="32">
        <v>186.4011670024858</v>
      </c>
      <c r="E7" s="31">
        <v>192.39234785756292</v>
      </c>
      <c r="F7" s="31">
        <v>199.8477634121587</v>
      </c>
    </row>
    <row r="8" spans="1:6" x14ac:dyDescent="0.25">
      <c r="A8" s="30">
        <v>0.084709</v>
      </c>
      <c r="B8" s="31">
        <v>162.74593002536662</v>
      </c>
      <c r="C8" s="31">
        <v>165.28095545041924</v>
      </c>
      <c r="D8" s="31">
        <v>168.2121344688687</v>
      </c>
      <c r="E8" s="31">
        <v>171.64808365021824</v>
      </c>
      <c r="F8" s="31">
        <v>175.7411205314029</v>
      </c>
    </row>
    <row r="9" spans="1:6" x14ac:dyDescent="0.25">
      <c r="A9" s="30">
        <v>0.094709</v>
      </c>
      <c r="B9" s="31">
        <v>151.73991286225726</v>
      </c>
      <c r="C9" s="31">
        <v>153.3385741083844</v>
      </c>
      <c r="D9" s="31">
        <v>155.1432190460446</v>
      </c>
      <c r="E9" s="31">
        <v>157.2015961394855</v>
      </c>
      <c r="F9" s="31">
        <v>159.57744757726678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14639850000</v>
      </c>
      <c r="C5" s="18">
        <v>13691128000</v>
      </c>
      <c r="D5" s="18">
        <v>12111139000</v>
      </c>
      <c r="E5" s="18">
        <v>11217429000</v>
      </c>
      <c r="F5" s="8" t="s">
        <v>84</v>
      </c>
    </row>
    <row r="6" spans="1:6" x14ac:dyDescent="0.25">
      <c r="A6" t="s">
        <v>44</v>
      </c>
      <c r="B6" s="18">
        <v>2280543000</v>
      </c>
      <c r="C6" s="18">
        <v>2264493000</v>
      </c>
      <c r="D6" s="18">
        <v>1754403000</v>
      </c>
      <c r="E6" s="18">
        <v>1719681000</v>
      </c>
      <c r="F6" s="8" t="s">
        <v>85</v>
      </c>
    </row>
    <row r="7" spans="1:6" x14ac:dyDescent="0.25">
      <c r="A7" t="s">
        <v>86</v>
      </c>
      <c r="B7" s="18">
        <v>-48126000</v>
      </c>
      <c r="C7" s="18">
        <v>-170638000</v>
      </c>
      <c r="D7" s="18">
        <v>-20861000</v>
      </c>
      <c r="E7" s="18">
        <v>55872000</v>
      </c>
      <c r="F7" s="8" t="s">
        <v>87</v>
      </c>
    </row>
    <row r="8" spans="1:6" x14ac:dyDescent="0.25">
      <c r="A8" t="s">
        <v>88</v>
      </c>
      <c r="B8" s="18">
        <v>169994000</v>
      </c>
      <c r="C8" s="18">
        <v>105623000</v>
      </c>
      <c r="D8" s="18">
        <v>53080000</v>
      </c>
      <c r="E8" s="18">
        <v>52684000</v>
      </c>
      <c r="F8" s="8" t="s">
        <v>89</v>
      </c>
    </row>
    <row r="9" spans="1:6" x14ac:dyDescent="0.25">
      <c r="A9" t="s">
        <v>90</v>
      </c>
      <c r="B9" s="18">
        <v>-1951241000</v>
      </c>
      <c r="C9" s="18">
        <v>-2146265000</v>
      </c>
      <c r="D9" s="18">
        <v>-1579038000</v>
      </c>
      <c r="E9" s="18">
        <v>-1425863000</v>
      </c>
      <c r="F9" s="8" t="s">
        <v>91</v>
      </c>
    </row>
    <row r="10" spans="1:6" x14ac:dyDescent="0.25">
      <c r="A10" t="s">
        <v>92</v>
      </c>
      <c r="B10" s="18">
        <v>2839725000</v>
      </c>
      <c r="C10" s="18">
        <v>2840966000</v>
      </c>
      <c r="D10" s="18">
        <v>2837041000</v>
      </c>
      <c r="E10" s="18">
        <v>2837194000</v>
      </c>
      <c r="F10" s="8" t="s">
        <v>93</v>
      </c>
    </row>
    <row r="11" spans="1:6" x14ac:dyDescent="0.25">
      <c r="A11" t="s">
        <v>94</v>
      </c>
      <c r="B11" s="18">
        <v>27556994000</v>
      </c>
      <c r="C11" s="18">
        <v>24328200000</v>
      </c>
      <c r="D11" s="18">
        <v>21488131000</v>
      </c>
      <c r="E11" s="18">
        <v>18985399000</v>
      </c>
      <c r="F11" s="8" t="s">
        <v>95</v>
      </c>
    </row>
    <row r="12" spans="1:6" x14ac:dyDescent="0.25">
      <c r="A12" t="s">
        <v>32</v>
      </c>
      <c r="B12" s="34">
        <v>399861000</v>
      </c>
      <c r="C12" s="34">
        <v>403224000</v>
      </c>
      <c r="D12" s="34">
        <v>409947000</v>
      </c>
      <c r="E12" s="34">
        <v>419191500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86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2026-09-19T00:06:51Z</dcterms:modified>
</cp:coreProperties>
</file>