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<sst xmlns="http://schemas.openxmlformats.org/spreadsheetml/2006/main" count="119" uniqueCount="106">
  <si>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Williams-Sonoma, Inc. (WSM)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</si>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</sst>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0.05943256623442905</v>
      </c>
    </row>
    <row r="7" spans="1:2" x14ac:dyDescent="0.25">
      <c r="A7" t="s">
        <v>4</v>
      </c>
      <c r="B7" s="5">
        <v>0.17501811467832146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0.028535941186201546</v>
      </c>
    </row>
    <row r="10" spans="1:3" x14ac:dyDescent="0.25">
      <c r="A10" t="s">
        <v>7</v>
      </c>
      <c r="B10" s="5">
        <v>0.03177559391768459</v>
      </c>
      <c r="C10" s="6" t="s">
        <v>8</v>
      </c>
    </row>
    <row r="11" spans="1:2" x14ac:dyDescent="0.25">
      <c r="A11" t="s">
        <v>9</v>
      </c>
      <c r="B11" s="5">
        <v>0.11311037320424425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18.33583566490668</v>
      </c>
    </row>
    <row r="14" spans="1:3" x14ac:dyDescent="0.25">
      <c r="A14" t="s">
        <v>12</v>
      </c>
      <c r="B14" s="5">
        <v>0.5322051936624062</v>
      </c>
      <c r="C14" s="6" t="s">
        <v>13</v>
      </c>
    </row>
    <row r="15" spans="1:3" x14ac:dyDescent="0.25">
      <c r="A15" t="s">
        <v>14</v>
      </c>
      <c r="B15" s="5">
        <v>0.028535941186201546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1.3142300000000002</v>
      </c>
      <c r="C19" s="6" t="s">
        <v>21</v>
      </c>
    </row>
    <row r="20" spans="1:2" x14ac:dyDescent="0.25">
      <c r="A20" t="s">
        <v>22</v>
      </c>
      <c r="B20" s="9">
        <f>B17+B19*B18</f>
        <v>0.10453192900000001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29765152768</v>
      </c>
    </row>
    <row r="23" spans="1:2" x14ac:dyDescent="0.25">
      <c r="A23" t="s">
        <v>26</v>
      </c>
      <c r="B23" s="10">
        <v>1456905000</v>
      </c>
    </row>
    <row r="24" spans="1:2" x14ac:dyDescent="0.25">
      <c r="A24" t="s">
        <v>27</v>
      </c>
      <c r="B24" s="9">
        <f>B22/(B22+B23)</f>
        <v>0.9533373164950965</v>
      </c>
    </row>
    <row r="25" spans="1:2" x14ac:dyDescent="0.25">
      <c r="A25" t="s">
        <v>28</v>
      </c>
      <c r="B25" s="9">
        <f>1-B24</f>
        <v>0.046662683504903546</v>
      </c>
    </row>
    <row r="26" spans="1:2" x14ac:dyDescent="0.25">
      <c r="A26" t="s">
        <v>29</v>
      </c>
      <c r="B26" s="11">
        <f>B24*B20+B25*B21*(1-B8)</f>
        <v>0.10219555974757012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7806816000</v>
      </c>
      <c r="C29" s="6" t="s">
        <v>32</v>
      </c>
    </row>
    <row r="30" spans="1:2" x14ac:dyDescent="0.25">
      <c r="A30" t="s">
        <v>33</v>
      </c>
      <c r="B30" s="10">
        <v>437104000</v>
      </c>
    </row>
    <row r="31" spans="1:2" x14ac:dyDescent="0.25">
      <c r="A31" t="s">
        <v>34</v>
      </c>
      <c r="B31" s="12">
        <v>123153000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0.05943256623442905</v>
      </c>
      <c r="C5" s="5">
        <v>0.0524133442174477</v>
      </c>
      <c r="D5" s="5">
        <v>0.04898667619026674</v>
      </c>
      <c r="E5" s="5">
        <v>0.04556000816308577</v>
      </c>
      <c r="F5" s="5">
        <v>0.042133340135904813</v>
      </c>
      <c r="G5" s="5">
        <v>0.03870667210872385</v>
      </c>
      <c r="H5" s="5">
        <v>0.03528000408154289</v>
      </c>
      <c r="I5" s="5">
        <v>0.03185333605436193</v>
      </c>
      <c r="J5" s="5">
        <v>0.028426668027180964</v>
      </c>
      <c r="K5" s="5">
        <v>0.025</v>
      </c>
    </row>
    <row r="6" spans="1:11" x14ac:dyDescent="0.25">
      <c r="A6" t="s">
        <v>50</v>
      </c>
      <c r="B6" s="18">
        <f>Assumptions!B29*(1+B5)</f>
        <v>8270795109</v>
      </c>
      <c r="C6" s="18">
        <f>B6*(1+C5)</f>
        <v>8704295140</v>
      </c>
      <c r="D6" s="18">
        <f>C6*(1+D5)</f>
        <v>9130689627.487692</v>
      </c>
      <c r="E6" s="18">
        <f>D6*(1+E5)</f>
        <v>9546683921.450634</v>
      </c>
      <c r="F6" s="18">
        <f>E6*(1+F5)</f>
        <v>9948917602.283087</v>
      </c>
      <c r="G6" s="18">
        <f>F6*(1+G5)</f>
        <v>10334007093.75137</v>
      </c>
      <c r="H6" s="18">
        <f>G6*(1+H5)</f>
        <v>10698590906.19761</v>
      </c>
      <c r="I6" s="18">
        <f>H6*(1+I5)</f>
        <v>11039376717.640865</v>
      </c>
      <c r="J6" s="18">
        <f>I6*(1+J5)</f>
        <v>11353189414.820232</v>
      </c>
      <c r="K6" s="18">
        <f>J6*(1+K5)</f>
        <v>11637019150.190737</v>
      </c>
    </row>
    <row r="7" spans="1:11" x14ac:dyDescent="0.25">
      <c r="A7" t="s">
        <v>4</v>
      </c>
      <c r="B7" s="9">
        <f>Assumptions!B7</f>
        <v>0.17501811467832146</v>
      </c>
      <c r="C7" s="9">
        <f>Assumptions!B7</f>
        <v>0.17501811467832146</v>
      </c>
      <c r="D7" s="9">
        <f>Assumptions!B7</f>
        <v>0.17501811467832146</v>
      </c>
      <c r="E7" s="9">
        <f>Assumptions!B7</f>
        <v>0.17501811467832146</v>
      </c>
      <c r="F7" s="9">
        <f>Assumptions!B7</f>
        <v>0.17501811467832146</v>
      </c>
      <c r="G7" s="9">
        <f>Assumptions!B7</f>
        <v>0.17501811467832146</v>
      </c>
      <c r="H7" s="9">
        <f>Assumptions!B7</f>
        <v>0.17501811467832146</v>
      </c>
      <c r="I7" s="9">
        <f>Assumptions!B7</f>
        <v>0.17501811467832146</v>
      </c>
      <c r="J7" s="9">
        <f>Assumptions!B7</f>
        <v>0.17501811467832146</v>
      </c>
      <c r="K7" s="9">
        <f>Assumptions!B7</f>
        <v>0.17501811467832146</v>
      </c>
    </row>
    <row r="8" spans="1:11" x14ac:dyDescent="0.25">
      <c r="A8" t="s">
        <v>51</v>
      </c>
      <c r="B8" s="18">
        <f>B6*B7</f>
        <v>1447538966.8678622</v>
      </c>
      <c r="C8" s="18">
        <f>C6*C7</f>
        <v>1523409325.0064762</v>
      </c>
      <c r="D8" s="18">
        <f>D6*D7</f>
        <v>1598036084.3158011</v>
      </c>
      <c r="E8" s="18">
        <f>E6*E7</f>
        <v>1670842621.3621347</v>
      </c>
      <c r="F8" s="18">
        <f>F6*F7</f>
        <v>1741240801.8415523</v>
      </c>
      <c r="G8" s="18">
        <f>G6*G7</f>
        <v>1808638438.6207647</v>
      </c>
      <c r="H8" s="18">
        <f>H6*H7</f>
        <v>1872447210.1173406</v>
      </c>
      <c r="I8" s="18">
        <f>I6*I7</f>
        <v>1932090900.3452609</v>
      </c>
      <c r="J8" s="18">
        <f>J6*J7</f>
        <v>1987013806.9677126</v>
      </c>
      <c r="K8" s="18">
        <f>K6*K7</f>
        <v>2036689152.1419053</v>
      </c>
    </row>
    <row r="9" spans="1:11" x14ac:dyDescent="0.25">
      <c r="A9" t="s">
        <v>52</v>
      </c>
      <c r="B9" s="18">
        <f>B8*(1-Assumptions!B8)</f>
        <v>1143555783.825611</v>
      </c>
      <c r="C9" s="18">
        <f>C8*(1-Assumptions!B8)</f>
        <v>1203493366.7551162</v>
      </c>
      <c r="D9" s="18">
        <f>D8*(1-Assumptions!B8)</f>
        <v>1262448506.609483</v>
      </c>
      <c r="E9" s="18">
        <f>E8*(1-Assumptions!B8)</f>
        <v>1319965670.8760865</v>
      </c>
      <c r="F9" s="18">
        <f>F8*(1-Assumptions!B8)</f>
        <v>1375580233.4548264</v>
      </c>
      <c r="G9" s="18">
        <f>G8*(1-Assumptions!B8)</f>
        <v>1428824366.510404</v>
      </c>
      <c r="H9" s="18">
        <f>H8*(1-Assumptions!B8)</f>
        <v>1479233295.9926991</v>
      </c>
      <c r="I9" s="18">
        <f>I8*(1-Assumptions!B8)</f>
        <v>1526351811.272756</v>
      </c>
      <c r="J9" s="18">
        <f>J8*(1-Assumptions!B8)</f>
        <v>1569740907.504493</v>
      </c>
      <c r="K9" s="18">
        <f>K8*(1-Assumptions!B8)</f>
        <v>1608984430.1921053</v>
      </c>
    </row>
    <row r="10" spans="1:11" x14ac:dyDescent="0.25">
      <c r="A10" t="s">
        <v>53</v>
      </c>
      <c r="B10" s="18">
        <f>B6*Assumptions!B9</f>
        <v>236014922.7935474</v>
      </c>
      <c r="C10" s="18">
        <f>C6*Assumptions!B9</f>
        <v>248385254.18237996</v>
      </c>
      <c r="D10" s="18">
        <f>D6*Assumptions!B9</f>
        <v>260552822.19944927</v>
      </c>
      <c r="E10" s="18">
        <f>E6*Assumptions!B9</f>
        <v>272423610.90577126</v>
      </c>
      <c r="F10" s="18">
        <f>F6*Assumptions!B9</f>
        <v>283901727.56511545</v>
      </c>
      <c r="G10" s="18">
        <f>G6*Assumptions!B9</f>
        <v>294890618.64507866</v>
      </c>
      <c r="H10" s="18">
        <f>H6*Assumptions!B9</f>
        <v>305294360.87448573</v>
      </c>
      <c r="I10" s="18">
        <f>I6*Assumptions!B9</f>
        <v>315019004.7469224</v>
      </c>
      <c r="J10" s="18">
        <f>J6*Assumptions!B9</f>
        <v>323973945.4171161</v>
      </c>
      <c r="K10" s="18">
        <f>K6*Assumptions!B9</f>
        <v>332073294.05254394</v>
      </c>
    </row>
    <row r="11" spans="1:11" x14ac:dyDescent="0.25">
      <c r="A11" t="s">
        <v>54</v>
      </c>
      <c r="B11" s="18">
        <f>-B6*B19</f>
        <v>-262809426.75995588</v>
      </c>
      <c r="C11" s="18">
        <f>-C6*C19</f>
        <v>-279732418.91365224</v>
      </c>
      <c r="D11" s="18">
        <f>-D6*D19</f>
        <v>-296738074.88632697</v>
      </c>
      <c r="E11" s="18">
        <f>-E6*E19</f>
        <v>-313710420.22641754</v>
      </c>
      <c r="F11" s="18">
        <f>-F6*F19</f>
        <v>-330526528.87110925</v>
      </c>
      <c r="G11" s="18">
        <f>-G6*G19</f>
        <v>-347057835.3208185</v>
      </c>
      <c r="H11" s="18">
        <f>-H6*H19</f>
        <v>-363171628.57560843</v>
      </c>
      <c r="I11" s="18">
        <f>-I6*I19</f>
        <v>-378732707.30969375</v>
      </c>
      <c r="J11" s="18">
        <f>-J6*J19</f>
        <v>-393605170.49935603</v>
      </c>
      <c r="K11" s="18">
        <f>-K6*K19</f>
        <v>-407654312.8659724</v>
      </c>
    </row>
    <row r="12" spans="1:11" x14ac:dyDescent="0.25">
      <c r="A12" t="s">
        <v>55</v>
      </c>
      <c r="B12" s="18">
        <f>-(B6-Assumptions!B29)*Assumptions!B11</f>
        <v>-52480850.17796272</v>
      </c>
      <c r="C12" s="18">
        <f>-(C6-B6)*Assumptions!B11</f>
        <v>-49033350.29046145</v>
      </c>
      <c r="D12" s="18">
        <f>-(D6-C6)*Assumptions!B11</f>
        <v>-48229639.611965284</v>
      </c>
      <c r="E12" s="18">
        <f>-(E6-D6)*Assumptions!B11</f>
        <v>-47053269.84098447</v>
      </c>
      <c r="F12" s="18">
        <f>-(F6-E6)*Assumptions!B11</f>
        <v>-45496801.7542756</v>
      </c>
      <c r="G12" s="18">
        <f>-(G6-F6)*Assumptions!B11</f>
        <v>-43557616.09701008</v>
      </c>
      <c r="H12" s="18">
        <f>-(H6-G6)*Assumptions!B11</f>
        <v>-41238211.09002055</v>
      </c>
      <c r="I12" s="18">
        <f>-(I6-H6)*Assumptions!B11</f>
        <v>-38546410.315057725</v>
      </c>
      <c r="J12" s="18">
        <f>-(J6-I6)*Assumptions!B11</f>
        <v>-35495471.29418869</v>
      </c>
      <c r="K12" s="18">
        <f>-(K6-J6)*Assumptions!B11</f>
        <v>-32104087.294219635</v>
      </c>
    </row>
    <row r="13" spans="1:11" x14ac:dyDescent="0.25">
      <c r="A13" s="19" t="s">
        <v>56</v>
      </c>
      <c r="B13" s="20">
        <f>B9+B10+B11+B12</f>
        <v>1064280429.6812398</v>
      </c>
      <c r="C13" s="20">
        <f>C9+C10+C11+C12</f>
        <v>1123112851.7333825</v>
      </c>
      <c r="D13" s="20">
        <f>D9+D10+D11+D12</f>
        <v>1178033614.31064</v>
      </c>
      <c r="E13" s="20">
        <f>E9+E10+E11+E12</f>
        <v>1231625591.7144556</v>
      </c>
      <c r="F13" s="20">
        <f>F9+F10+F11+F12</f>
        <v>1283458630.394557</v>
      </c>
      <c r="G13" s="20">
        <f>G9+G10+G11+G12</f>
        <v>1333099533.7376542</v>
      </c>
      <c r="H13" s="20">
        <f>H9+H10+H11+H12</f>
        <v>1380117817.2015557</v>
      </c>
      <c r="I13" s="20">
        <f>I9+I10+I11+I12</f>
        <v>1424091698.394927</v>
      </c>
      <c r="J13" s="20">
        <f>J9+J10+J11+J12</f>
        <v>1464614211.1280644</v>
      </c>
      <c r="K13" s="20">
        <f>K9+K10+K11+K12</f>
        <v>1501299324.0844572</v>
      </c>
    </row>
    <row r="14" spans="1:11" x14ac:dyDescent="0.25">
      <c r="A14" t="s">
        <v>57</v>
      </c>
      <c r="B14" s="21">
        <f>1/(1+Assumptions!$B$26)^(1-0.5*Assumptions!$B$32)</f>
        <v>0.9525124730880865</v>
      </c>
      <c r="C14" s="21">
        <f>1/(1+Assumptions!$B$26)^(2-0.5*Assumptions!$B$32)</f>
        <v>0.8641955274309354</v>
      </c>
      <c r="D14" s="21">
        <f>1/(1+Assumptions!$B$26)^(3-0.5*Assumptions!$B$32)</f>
        <v>0.7840673279693283</v>
      </c>
      <c r="E14" s="21">
        <f>1/(1+Assumptions!$B$26)^(4-0.5*Assumptions!$B$32)</f>
        <v>0.7113686142492708</v>
      </c>
      <c r="F14" s="21">
        <f>1/(1+Assumptions!$B$26)^(5-0.5*Assumptions!$B$32)</f>
        <v>0.6454105244374162</v>
      </c>
      <c r="G14" s="21">
        <f>1/(1+Assumptions!$B$26)^(6-0.5*Assumptions!$B$32)</f>
        <v>0.5855680679617609</v>
      </c>
      <c r="H14" s="21">
        <f>1/(1+Assumptions!$B$26)^(7-0.5*Assumptions!$B$32)</f>
        <v>0.5312742033690195</v>
      </c>
      <c r="I14" s="21">
        <f>1/(1+Assumptions!$B$26)^(8-0.5*Assumptions!$B$32)</f>
        <v>0.48201446528299785</v>
      </c>
      <c r="J14" s="21">
        <f>1/(1+Assumptions!$B$26)^(9-0.5*Assumptions!$B$32)</f>
        <v>0.4373220895513234</v>
      </c>
      <c r="K14" s="21">
        <f>1/(1+Assumptions!$B$26)^(10-0.5*Assumptions!$B$32)</f>
        <v>0.3967735903885159</v>
      </c>
    </row>
    <row r="15" spans="1:11" x14ac:dyDescent="0.25">
      <c r="A15" s="19" t="s">
        <v>58</v>
      </c>
      <c r="B15" s="20">
        <f>B13*B14</f>
        <v>1013740384.1349291</v>
      </c>
      <c r="C15" s="20">
        <f>C13*C14</f>
        <v>970589103.2681924</v>
      </c>
      <c r="D15" s="20">
        <f>D13*D14</f>
        <v>923657668.2305939</v>
      </c>
      <c r="E15" s="20">
        <f>E13*E14</f>
        <v>876139790.4518504</v>
      </c>
      <c r="F15" s="20">
        <f>F13*F14</f>
        <v>828357707.736679</v>
      </c>
      <c r="G15" s="20">
        <f>G13*G14</f>
        <v>780620518.3714824</v>
      </c>
      <c r="H15" s="20">
        <f>H13*H14</f>
        <v>733220993.8891467</v>
      </c>
      <c r="I15" s="20">
        <f>I13*I14</f>
        <v>686432798.515787</v>
      </c>
      <c r="J15" s="20">
        <f>J13*J14</f>
        <v>640508147.1970882</v>
      </c>
      <c r="K15" s="20">
        <f>K13*K14</f>
        <v>595675923.0648422</v>
      </c>
    </row>
    <row r="17" spans="1:2" x14ac:dyDescent="0.25">
      <c r="A17" s="22" t="s">
        <v>59</v>
      </c>
      <c r="B17" s="23">
        <f>SUM(B15:K15)</f>
        <v>8048943034.860592</v>
      </c>
    </row>
    <row r="19" spans="1:11" x14ac:dyDescent="0.25">
      <c r="A19" t="s">
        <v>7</v>
      </c>
      <c r="B19" s="9">
        <f>Assumptions!$B$10+($B$20-Assumptions!$B$10)*0/9</f>
        <v>0.03177559391768459</v>
      </c>
      <c r="C19" s="9">
        <f>Assumptions!$B$10+($B$20-Assumptions!$B$10)*1/9</f>
        <v>0.0321372856060637</v>
      </c>
      <c r="D19" s="9">
        <f>Assumptions!$B$10+($B$20-Assumptions!$B$10)*2/9</f>
        <v>0.03249897729444281</v>
      </c>
      <c r="E19" s="9">
        <f>Assumptions!$B$10+($B$20-Assumptions!$B$10)*3/9</f>
        <v>0.03286066898282192</v>
      </c>
      <c r="F19" s="9">
        <f>Assumptions!$B$10+($B$20-Assumptions!$B$10)*4/9</f>
        <v>0.033222360671201025</v>
      </c>
      <c r="G19" s="9">
        <f>Assumptions!$B$10+($B$20-Assumptions!$B$10)*5/9</f>
        <v>0.03358405235958013</v>
      </c>
      <c r="H19" s="9">
        <f>Assumptions!$B$10+($B$20-Assumptions!$B$10)*6/9</f>
        <v>0.03394574404795924</v>
      </c>
      <c r="I19" s="9">
        <f>Assumptions!$B$10+($B$20-Assumptions!$B$10)*7/9</f>
        <v>0.03430743573633835</v>
      </c>
      <c r="J19" s="9">
        <f>Assumptions!$B$10+($B$20-Assumptions!$B$10)*8/9</f>
        <v>0.03466912742471746</v>
      </c>
      <c r="K19" s="9">
        <f>Assumptions!$B$10+($B$20-Assumptions!$B$10)*9/9</f>
        <v>0.035030819113096565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0.035030819113096565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1501299324.0844572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1608984430.1921053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0.046974363079700154</v>
      </c>
    </row>
    <row r="7" spans="1:2" x14ac:dyDescent="0.25">
      <c r="A7" t="s">
        <v>66</v>
      </c>
      <c r="B7" s="18">
        <f>-MAX(B5,0)*B6</f>
        <v>-75581018.81342842</v>
      </c>
    </row>
    <row r="8" spans="1:2" x14ac:dyDescent="0.25">
      <c r="A8" t="s">
        <v>67</v>
      </c>
      <c r="B8" s="18">
        <f>IF(OR(Assumptions!$B$33=0,Assumptions!B12&lt;=0),B5,MAX(B5+B7,0))</f>
        <v>1533403411.378677</v>
      </c>
    </row>
    <row r="9" spans="1:2" x14ac:dyDescent="0.25">
      <c r="A9" t="s">
        <v>68</v>
      </c>
      <c r="B9" s="18">
        <f>B8*(1+Assumptions!B12)/(Assumptions!B26-Assumptions!B12)</f>
        <v>20360478009.392467</v>
      </c>
    </row>
    <row r="10" spans="1:2" x14ac:dyDescent="0.25">
      <c r="A10" t="s">
        <v>69</v>
      </c>
      <c r="B10" s="18">
        <f>B9/(1+Assumptions!B26)^(10-0.5*Assumptions!B32)</f>
        <v>8078499961.813072</v>
      </c>
    </row>
    <row r="11" spans="1:2" x14ac:dyDescent="0.25">
      <c r="A11" t="s">
        <v>70</v>
      </c>
      <c r="B11" s="18">
        <f>Forecast!B17+B10</f>
        <v>16127442996.673664</v>
      </c>
    </row>
    <row r="12" spans="1:2" x14ac:dyDescent="0.25">
      <c r="A12" t="s">
        <v>71</v>
      </c>
      <c r="B12" s="18">
        <f>-Assumptions!B30</f>
        <v>-437104000</v>
      </c>
    </row>
    <row r="13" spans="1:2" x14ac:dyDescent="0.25">
      <c r="A13" t="s">
        <v>72</v>
      </c>
      <c r="B13" s="18">
        <f>B11+B12</f>
        <v>15690338996.673664</v>
      </c>
    </row>
    <row r="14" spans="1:2" x14ac:dyDescent="0.25">
      <c r="A14" s="19" t="s">
        <v>73</v>
      </c>
      <c r="B14" s="24">
        <f>B13/Assumptions!B31</f>
        <v>127.4052519765955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2368762446.1944494</v>
      </c>
    </row>
    <row r="18" spans="1:2" x14ac:dyDescent="0.25">
      <c r="A18" t="s">
        <v>68</v>
      </c>
      <c r="B18" s="18">
        <f>B17*Assumptions!B13</f>
        <v>43433238942.62377</v>
      </c>
    </row>
    <row r="19" spans="1:2" x14ac:dyDescent="0.25">
      <c r="A19" t="s">
        <v>69</v>
      </c>
      <c r="B19" s="18">
        <f>B18/(1+Assumptions!B26)^(10-0.5*Assumptions!B32)</f>
        <v>17233162157.46714</v>
      </c>
    </row>
    <row r="20" spans="1:2" x14ac:dyDescent="0.25">
      <c r="A20" t="s">
        <v>70</v>
      </c>
      <c r="B20" s="18">
        <f>Forecast!B17+B19</f>
        <v>25282105192.327732</v>
      </c>
    </row>
    <row r="21" spans="1:2" x14ac:dyDescent="0.25">
      <c r="A21" t="s">
        <v>71</v>
      </c>
      <c r="B21" s="18">
        <f>-Assumptions!B30</f>
        <v>-437104000</v>
      </c>
    </row>
    <row r="22" spans="1:2" x14ac:dyDescent="0.25">
      <c r="A22" t="s">
        <v>72</v>
      </c>
      <c r="B22" s="18">
        <f>B20+B21</f>
        <v>24845001192.327732</v>
      </c>
    </row>
    <row r="23" spans="1:2" x14ac:dyDescent="0.25">
      <c r="A23" s="19" t="s">
        <v>73</v>
      </c>
      <c r="B23" s="25">
        <f>B22/Assumptions!B31</f>
        <v>201.74093357309795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252.72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127.4052519765955</v>
      </c>
    </row>
    <row r="29" spans="1:2" x14ac:dyDescent="0.25">
      <c r="A29" s="19" t="s">
        <v>81</v>
      </c>
      <c r="B29" s="11">
        <f>B28/B26-1</f>
        <v>-0.4958639918621578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0.082196</v>
      </c>
      <c r="B5" s="31">
        <v>158.7596193448792</v>
      </c>
      <c r="C5" s="31">
        <v>165.23939216924234</v>
      </c>
      <c r="D5" s="31">
        <v>172.89988585709915</v>
      </c>
      <c r="E5" s="31">
        <v>182.08041401394445</v>
      </c>
      <c r="F5" s="31">
        <v>193.26407938227388</v>
      </c>
    </row>
    <row r="6" spans="1:6" x14ac:dyDescent="0.25">
      <c r="A6" s="30">
        <v>0.092196</v>
      </c>
      <c r="B6" s="31">
        <v>137.43098275270114</v>
      </c>
      <c r="C6" s="31">
        <v>141.751409717733</v>
      </c>
      <c r="D6" s="31">
        <v>146.75331680607982</v>
      </c>
      <c r="E6" s="31">
        <v>152.60105866835784</v>
      </c>
      <c r="F6" s="31">
        <v>159.51646063516648</v>
      </c>
    </row>
    <row r="7" spans="1:6" x14ac:dyDescent="0.25">
      <c r="A7" s="30">
        <v>0.102196</v>
      </c>
      <c r="B7" s="31">
        <v>121.03665818854981</v>
      </c>
      <c r="C7" s="31">
        <v>124.01198982692942</v>
      </c>
      <c r="D7" s="32">
        <v>127.40451097465937</v>
      </c>
      <c r="E7" s="31">
        <v>131.30090015465308</v>
      </c>
      <c r="F7" s="31">
        <v>135.81363460490024</v>
      </c>
    </row>
    <row r="8" spans="1:6" x14ac:dyDescent="0.25">
      <c r="A8" s="30">
        <v>0.112196</v>
      </c>
      <c r="B8" s="31">
        <v>108.05063412286086</v>
      </c>
      <c r="C8" s="31">
        <v>110.14815493977895</v>
      </c>
      <c r="D8" s="31">
        <v>112.51288914221271</v>
      </c>
      <c r="E8" s="31">
        <v>115.19360066980323</v>
      </c>
      <c r="F8" s="31">
        <v>118.2516872617772</v>
      </c>
    </row>
    <row r="9" spans="1:6" x14ac:dyDescent="0.25">
      <c r="A9" s="30">
        <v>0.122196</v>
      </c>
      <c r="B9" s="31">
        <v>97.51657371255537</v>
      </c>
      <c r="C9" s="31">
        <v>99.020220718487</v>
      </c>
      <c r="D9" s="31">
        <v>100.70126476798983</v>
      </c>
      <c r="E9" s="31">
        <v>102.58856780359474</v>
      </c>
      <c r="F9" s="31">
        <v>104.7176117830925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7806816000</v>
      </c>
      <c r="C5" s="18">
        <v>7711541000</v>
      </c>
      <c r="D5" s="18">
        <v>7750652000</v>
      </c>
      <c r="E5" s="18">
        <v>8674417000</v>
      </c>
      <c r="F5" s="6" t="s">
        <v>91</v>
      </c>
    </row>
    <row r="6" spans="1:6" x14ac:dyDescent="0.25">
      <c r="A6" t="s">
        <v>51</v>
      </c>
      <c r="B6" s="18">
        <v>1415722000</v>
      </c>
      <c r="C6" s="18">
        <v>1430184000</v>
      </c>
      <c r="D6" s="18">
        <v>1244193000</v>
      </c>
      <c r="E6" s="18">
        <v>1498422000</v>
      </c>
      <c r="F6" s="6" t="s">
        <v>92</v>
      </c>
    </row>
    <row r="7" spans="1:6" x14ac:dyDescent="0.25">
      <c r="A7" t="s">
        <v>93</v>
      </c>
      <c r="B7" s="18">
        <v>231449000</v>
      </c>
      <c r="C7" s="18">
        <v>229802000</v>
      </c>
      <c r="D7" s="18">
        <v>232590000</v>
      </c>
      <c r="E7" s="18">
        <v>214153000</v>
      </c>
      <c r="F7" s="6" t="s">
        <v>94</v>
      </c>
    </row>
    <row r="8" spans="1:6" x14ac:dyDescent="0.25">
      <c r="A8" t="s">
        <v>95</v>
      </c>
      <c r="B8" s="18">
        <v>259438000</v>
      </c>
      <c r="C8" s="18">
        <v>221567000</v>
      </c>
      <c r="D8" s="18">
        <v>188458000</v>
      </c>
      <c r="E8" s="18">
        <v>354117000</v>
      </c>
      <c r="F8" s="6" t="s">
        <v>96</v>
      </c>
    </row>
    <row r="9" spans="1:6" x14ac:dyDescent="0.25">
      <c r="A9" t="s">
        <v>97</v>
      </c>
      <c r="B9" s="18">
        <v>388532000</v>
      </c>
      <c r="C9" s="18">
        <v>342932000</v>
      </c>
      <c r="D9" s="18">
        <v>-167893000</v>
      </c>
      <c r="E9" s="18">
        <v>609807000</v>
      </c>
      <c r="F9" s="6" t="s">
        <v>98</v>
      </c>
    </row>
    <row r="10" spans="1:6" x14ac:dyDescent="0.25">
      <c r="A10" t="s">
        <v>99</v>
      </c>
      <c r="B10" s="18">
        <v>1456905000</v>
      </c>
      <c r="C10" s="18">
        <v>1347315000</v>
      </c>
      <c r="D10" s="18">
        <v>1390621000</v>
      </c>
      <c r="E10" s="18">
        <v>1443658000</v>
      </c>
      <c r="F10" s="6" t="s">
        <v>100</v>
      </c>
    </row>
    <row r="11" spans="1:6" x14ac:dyDescent="0.25">
      <c r="A11" t="s">
        <v>101</v>
      </c>
      <c r="B11" s="18">
        <v>1019801000</v>
      </c>
      <c r="C11" s="18">
        <v>1212977000</v>
      </c>
      <c r="D11" s="18">
        <v>1262007000</v>
      </c>
      <c r="E11" s="18">
        <v>367344000</v>
      </c>
      <c r="F11" s="6" t="s">
        <v>102</v>
      </c>
    </row>
    <row r="12" spans="1:6" x14ac:dyDescent="0.25">
      <c r="A12" t="s">
        <v>34</v>
      </c>
      <c r="B12" s="34">
        <v>123153000</v>
      </c>
      <c r="C12" s="34">
        <v>128041000</v>
      </c>
      <c r="D12" s="34">
        <v>130544000</v>
      </c>
      <c r="E12" s="34">
        <v>138200000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