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<sst xmlns="http://schemas.openxmlformats.org/spreadsheetml/2006/main" count="111" uniqueCount="99">
  <si>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Williams-Sonoma, Inc. (WSM)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</si>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</sst>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-0.03451718232113232</v>
      </c>
    </row>
    <row r="7" spans="1:2" x14ac:dyDescent="0.25">
      <c r="A7" t="s">
        <v>5</v>
      </c>
      <c r="B7" s="6">
        <v>0.17501811467832146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0.028535941186201546</v>
      </c>
    </row>
    <row r="10" spans="1:2" x14ac:dyDescent="0.25">
      <c r="A10" t="s">
        <v>8</v>
      </c>
      <c r="B10" s="6">
        <v>0.03177559391768459</v>
      </c>
    </row>
    <row r="11" spans="1:2" x14ac:dyDescent="0.25">
      <c r="A11" t="s">
        <v>9</v>
      </c>
      <c r="B11" s="6">
        <v>0.18174860489410186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16.296544045518043</v>
      </c>
    </row>
    <row r="14" spans="1:3" x14ac:dyDescent="0.25">
      <c r="A14" t="s">
        <v>12</v>
      </c>
      <c r="B14" s="6">
        <v>0.5322051936624062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1.31021</v>
      </c>
      <c r="C19" s="8" t="s">
        <v>19</v>
      </c>
    </row>
    <row r="20" spans="1:2" x14ac:dyDescent="0.25">
      <c r="A20" t="s">
        <v>20</v>
      </c>
      <c r="B20" s="10">
        <f>B17+B19*B18</f>
        <v>0.12204155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26406090752</v>
      </c>
    </row>
    <row r="23" spans="1:2" x14ac:dyDescent="0.25">
      <c r="A23" t="s">
        <v>24</v>
      </c>
      <c r="B23" s="11">
        <v>1456905000</v>
      </c>
    </row>
    <row r="24" spans="1:2" x14ac:dyDescent="0.25">
      <c r="A24" t="s">
        <v>25</v>
      </c>
      <c r="B24" s="10">
        <f>B22/(B22+B23)</f>
        <v>0.9477118321027838</v>
      </c>
    </row>
    <row r="25" spans="1:2" x14ac:dyDescent="0.25">
      <c r="A25" t="s">
        <v>26</v>
      </c>
      <c r="B25" s="10">
        <f>1-B24</f>
        <v>0.05228816789721624</v>
      </c>
    </row>
    <row r="26" spans="1:2" x14ac:dyDescent="0.25">
      <c r="A26" t="s">
        <v>27</v>
      </c>
      <c r="B26" s="12">
        <f>B24*B20+B25*B21*(1-B8)</f>
        <v>0.11855093047482677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7806816000</v>
      </c>
      <c r="C29" s="8" t="s">
        <v>30</v>
      </c>
    </row>
    <row r="30" spans="1:2" x14ac:dyDescent="0.25">
      <c r="A30" t="s">
        <v>31</v>
      </c>
      <c r="B30" s="11">
        <v>437104000</v>
      </c>
    </row>
    <row r="31" spans="1:2" x14ac:dyDescent="0.25">
      <c r="A31" t="s">
        <v>32</v>
      </c>
      <c r="B31" s="13">
        <v>123153000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-0.03451718232113232</v>
      </c>
      <c r="C5" s="10">
        <f>Assumptions!B6</f>
        <v>-0.03451718232113232</v>
      </c>
      <c r="D5" s="10">
        <f>Assumptions!B6</f>
        <v>-0.03451718232113232</v>
      </c>
      <c r="E5" s="10">
        <f>Assumptions!B6</f>
        <v>-0.03451718232113232</v>
      </c>
      <c r="F5" s="10">
        <f>Assumptions!B6</f>
        <v>-0.03451718232113232</v>
      </c>
    </row>
    <row r="6" spans="1:6" x14ac:dyDescent="0.25">
      <c r="A6" t="s">
        <v>43</v>
      </c>
      <c r="B6" s="18">
        <f>Assumptions!B29*(1+B5)</f>
        <v>7537346708.780467</v>
      </c>
      <c r="C6" s="18">
        <f>B6*(1+C5)</f>
        <v>7277178738.215905</v>
      </c>
      <c r="D6" s="18">
        <f>C6*(1+D5)</f>
        <v>7025991032.925439</v>
      </c>
      <c r="E6" s="18">
        <f>D6*(1+E5)</f>
        <v>6783473619.455311</v>
      </c>
      <c r="F6" s="18">
        <f>E6*(1+F5)</f>
        <v>6549327223.76198</v>
      </c>
    </row>
    <row r="7" spans="1:6" x14ac:dyDescent="0.25">
      <c r="A7" t="s">
        <v>5</v>
      </c>
      <c r="B7" s="10">
        <f>Assumptions!B7</f>
        <v>0.17501811467832146</v>
      </c>
      <c r="C7" s="10">
        <f>Assumptions!B7</f>
        <v>0.17501811467832146</v>
      </c>
      <c r="D7" s="10">
        <f>Assumptions!B7</f>
        <v>0.17501811467832146</v>
      </c>
      <c r="E7" s="10">
        <f>Assumptions!B7</f>
        <v>0.17501811467832146</v>
      </c>
      <c r="F7" s="10">
        <f>Assumptions!B7</f>
        <v>0.17501811467832146</v>
      </c>
    </row>
    <row r="8" spans="1:6" x14ac:dyDescent="0.25">
      <c r="A8" t="s">
        <v>44</v>
      </c>
      <c r="B8" s="18">
        <f>B6*B7</f>
        <v>1319172210.6476085</v>
      </c>
      <c r="C8" s="18">
        <f>C6*C7</f>
        <v>1273638102.939714</v>
      </c>
      <c r="D8" s="18">
        <f>D6*D7</f>
        <v>1229675704.3294027</v>
      </c>
      <c r="E8" s="18">
        <f>E6*E7</f>
        <v>1187230763.847198</v>
      </c>
      <c r="F8" s="18">
        <f>F6*F7</f>
        <v>1146250903.1142268</v>
      </c>
    </row>
    <row r="9" spans="1:6" x14ac:dyDescent="0.25">
      <c r="A9" t="s">
        <v>45</v>
      </c>
      <c r="B9" s="18">
        <f>B8*(1-Assumptions!B8)</f>
        <v>1042146046.4116107</v>
      </c>
      <c r="C9" s="18">
        <f>C8*(1-Assumptions!B8)</f>
        <v>1006174101.3223741</v>
      </c>
      <c r="D9" s="18">
        <f>D8*(1-Assumptions!B8)</f>
        <v>971443806.4202281</v>
      </c>
      <c r="E9" s="18">
        <f>E8*(1-Assumptions!B8)</f>
        <v>937912303.4392865</v>
      </c>
      <c r="F9" s="18">
        <f>F8*(1-Assumptions!B8)</f>
        <v>905538213.4602392</v>
      </c>
    </row>
    <row r="10" spans="1:6" x14ac:dyDescent="0.25">
      <c r="A10" t="s">
        <v>46</v>
      </c>
      <c r="B10" s="18">
        <f>B6*Assumptions!B9</f>
        <v>215085282.3817692</v>
      </c>
      <c r="C10" s="18">
        <f>C6*Assumptions!B9</f>
        <v>207661144.47520545</v>
      </c>
      <c r="D10" s="18">
        <f>D6*Assumptions!B9</f>
        <v>200493266.89033976</v>
      </c>
      <c r="E10" s="18">
        <f>E6*Assumptions!B9</f>
        <v>193572804.24292648</v>
      </c>
      <c r="F10" s="18">
        <f>F6*Assumptions!B9</f>
        <v>186891216.46646053</v>
      </c>
    </row>
    <row r="11" spans="1:6" x14ac:dyDescent="0.25">
      <c r="A11" t="s">
        <v>47</v>
      </c>
      <c r="B11" s="18">
        <f>-B6*Assumptions!B10</f>
        <v>-239503668.2350046</v>
      </c>
      <c r="C11" s="18">
        <f>-C6*Assumptions!B10</f>
        <v>-231236676.45195696</v>
      </c>
      <c r="D11" s="18">
        <f>-D6*Assumptions!B10</f>
        <v>-223255037.93153206</v>
      </c>
      <c r="E11" s="18">
        <f>-E6*Assumptions!B10</f>
        <v>-215548903.08313808</v>
      </c>
      <c r="F11" s="18">
        <f>-F6*Assumptions!B10</f>
        <v>-208108762.29629728</v>
      </c>
    </row>
    <row r="12" spans="1:6" x14ac:dyDescent="0.25">
      <c r="A12" t="s">
        <v>48</v>
      </c>
      <c r="B12" s="18">
        <f>-(B6-Assumptions!B29)*Assumptions!B11</f>
        <v>48975667.740952566</v>
      </c>
      <c r="C12" s="18">
        <f>-(C6-B6)*Assumptions!B11</f>
        <v>47285165.688238874</v>
      </c>
      <c r="D12" s="18">
        <f>-(D6-C6)*Assumptions!B11</f>
        <v>45653015.00309306</v>
      </c>
      <c r="E12" s="18">
        <f>-(E6-D6)*Assumptions!B11</f>
        <v>44077201.56072184</v>
      </c>
      <c r="F12" s="18">
        <f>-(F6-E6)*Assumptions!B11</f>
        <v>42555780.75824521</v>
      </c>
    </row>
    <row r="13" spans="1:6" x14ac:dyDescent="0.25">
      <c r="A13" s="19" t="s">
        <v>49</v>
      </c>
      <c r="B13" s="20">
        <f>B9+B10+B11+B12</f>
        <v>1066703328.299328</v>
      </c>
      <c r="C13" s="20">
        <f>C9+C10+C11+C12</f>
        <v>1029883735.0338614</v>
      </c>
      <c r="D13" s="20">
        <f>D9+D10+D11+D12</f>
        <v>994335050.3821288</v>
      </c>
      <c r="E13" s="20">
        <f>E9+E10+E11+E12</f>
        <v>960013406.1597966</v>
      </c>
      <c r="F13" s="20">
        <f>F9+F10+F11+F12</f>
        <v>926876448.3886476</v>
      </c>
    </row>
    <row r="14" spans="1:6" x14ac:dyDescent="0.25">
      <c r="A14" t="s">
        <v>50</v>
      </c>
      <c r="B14" s="21">
        <f>1/(1+Assumptions!$B$26)^(1-0.5*Assumptions!$B$32)</f>
        <v>0.9455230450628513</v>
      </c>
      <c r="C14" s="21">
        <f>1/(1+Assumptions!$B$26)^(2-0.5*Assumptions!$B$32)</f>
        <v>0.8453106776832015</v>
      </c>
      <c r="D14" s="21">
        <f>1/(1+Assumptions!$B$26)^(3-0.5*Assumptions!$B$32)</f>
        <v>0.7557194354345275</v>
      </c>
      <c r="E14" s="21">
        <f>1/(1+Assumptions!$B$26)^(4-0.5*Assumptions!$B$32)</f>
        <v>0.6756236259297763</v>
      </c>
      <c r="F14" s="21">
        <f>1/(1+Assumptions!$B$26)^(5-0.5*Assumptions!$B$32)</f>
        <v>0.6040168646080094</v>
      </c>
    </row>
    <row r="15" spans="1:6" x14ac:dyDescent="0.25">
      <c r="A15" s="19" t="s">
        <v>51</v>
      </c>
      <c r="B15" s="20">
        <f>B13*B14</f>
        <v>1008592579.152259</v>
      </c>
      <c r="C15" s="20">
        <f>C13*C14</f>
        <v>870571717.9963801</v>
      </c>
      <c r="D15" s="20">
        <f>D13*D14</f>
        <v>751438322.9075449</v>
      </c>
      <c r="E15" s="20">
        <f>E13*E14</f>
        <v>648607738.4108769</v>
      </c>
      <c r="F15" s="20">
        <f>F13*F14</f>
        <v>559849006.2347183</v>
      </c>
    </row>
    <row r="17" spans="1:2" x14ac:dyDescent="0.25">
      <c r="A17" s="22" t="s">
        <v>52</v>
      </c>
      <c r="B17" s="23">
        <f>SUM(B15:F15)</f>
        <v>3839059364.701779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926876448.3886476</v>
      </c>
    </row>
    <row r="5" spans="1:2" x14ac:dyDescent="0.25">
      <c r="A5" t="s">
        <v>56</v>
      </c>
      <c r="B5" s="18">
        <f>IF(Assumptions!$B$33=0,B4,B4-Forecast!F11-Forecast!F10-Forecast!F12)</f>
        <v>905538213.4602392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0.046974363079700154</v>
      </c>
    </row>
    <row r="7" spans="1:2" x14ac:dyDescent="0.25">
      <c r="A7" t="s">
        <v>58</v>
      </c>
      <c r="B7" s="18">
        <f>-MAX(Forecast!F9,0)*B6</f>
        <v>-42537080.821624294</v>
      </c>
    </row>
    <row r="8" spans="1:2" x14ac:dyDescent="0.25">
      <c r="A8" t="s">
        <v>59</v>
      </c>
      <c r="B8" s="18">
        <f>IF(OR(Assumptions!$B$33=0,Assumptions!B12&lt;=0),B5,MAX(B5+B7,0))</f>
        <v>863001132.6386149</v>
      </c>
    </row>
    <row r="9" spans="1:2" x14ac:dyDescent="0.25">
      <c r="A9" t="s">
        <v>60</v>
      </c>
      <c r="B9" s="18">
        <f>B8*(1+Assumptions!B12)/(Assumptions!B26-Assumptions!B12)</f>
        <v>9455557058.22303</v>
      </c>
    </row>
    <row r="10" spans="1:2" x14ac:dyDescent="0.25">
      <c r="A10" t="s">
        <v>61</v>
      </c>
      <c r="B10" s="18">
        <f>B9/(1+Assumptions!B26)^(5-0.5*Assumptions!B32)</f>
        <v>5711315927.430008</v>
      </c>
    </row>
    <row r="11" spans="1:2" x14ac:dyDescent="0.25">
      <c r="A11" t="s">
        <v>62</v>
      </c>
      <c r="B11" s="18">
        <f>Forecast!B17+B10</f>
        <v>9550375292.131786</v>
      </c>
    </row>
    <row r="12" spans="1:2" x14ac:dyDescent="0.25">
      <c r="A12" t="s">
        <v>63</v>
      </c>
      <c r="B12" s="18">
        <f>-Assumptions!B30</f>
        <v>-437104000</v>
      </c>
    </row>
    <row r="13" spans="1:2" x14ac:dyDescent="0.25">
      <c r="A13" t="s">
        <v>64</v>
      </c>
      <c r="B13" s="18">
        <f>B11+B12</f>
        <v>9113271292.131786</v>
      </c>
    </row>
    <row r="14" spans="1:2" x14ac:dyDescent="0.25">
      <c r="A14" s="19" t="s">
        <v>65</v>
      </c>
      <c r="B14" s="24">
        <f>B13/Assumptions!B31</f>
        <v>73.99958825308182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1333142119.5806873</v>
      </c>
    </row>
    <row r="18" spans="1:2" x14ac:dyDescent="0.25">
      <c r="A18" t="s">
        <v>60</v>
      </c>
      <c r="B18" s="18">
        <f>B17*Assumptions!B13</f>
        <v>21725609270.681953</v>
      </c>
    </row>
    <row r="19" spans="1:2" x14ac:dyDescent="0.25">
      <c r="A19" t="s">
        <v>61</v>
      </c>
      <c r="B19" s="18">
        <f>B18/(1+Assumptions!B26)^(5-0.5*Assumptions!B32)</f>
        <v>13122634393.376015</v>
      </c>
    </row>
    <row r="20" spans="1:2" x14ac:dyDescent="0.25">
      <c r="A20" t="s">
        <v>62</v>
      </c>
      <c r="B20" s="18">
        <f>Forecast!B17+B19</f>
        <v>16961693758.077793</v>
      </c>
    </row>
    <row r="21" spans="1:2" x14ac:dyDescent="0.25">
      <c r="A21" t="s">
        <v>63</v>
      </c>
      <c r="B21" s="18">
        <f>-Assumptions!B30</f>
        <v>-437104000</v>
      </c>
    </row>
    <row r="22" spans="1:2" x14ac:dyDescent="0.25">
      <c r="A22" t="s">
        <v>64</v>
      </c>
      <c r="B22" s="18">
        <f>B20+B21</f>
        <v>16524589758.077793</v>
      </c>
    </row>
    <row r="23" spans="1:2" x14ac:dyDescent="0.25">
      <c r="A23" s="19" t="s">
        <v>65</v>
      </c>
      <c r="B23" s="25">
        <f>B22/Assumptions!B31</f>
        <v>134.17935217232056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224.2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73.99958825308182</v>
      </c>
    </row>
    <row r="29" spans="1:2" x14ac:dyDescent="0.25">
      <c r="A29" s="19" t="s">
        <v>73</v>
      </c>
      <c r="B29" s="12">
        <f>B28/B26-1</f>
        <v>-0.6699393922699294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0.098551</v>
      </c>
      <c r="B5" s="31">
        <v>85.7693720445207</v>
      </c>
      <c r="C5" s="31">
        <v>89.09952597653228</v>
      </c>
      <c r="D5" s="31">
        <v>92.87629510642758</v>
      </c>
      <c r="E5" s="31">
        <v>97.19740562300416</v>
      </c>
      <c r="F5" s="31">
        <v>102.19133891601537</v>
      </c>
    </row>
    <row r="6" spans="1:6" x14ac:dyDescent="0.25">
      <c r="A6" s="30">
        <v>0.108551</v>
      </c>
      <c r="B6" s="31">
        <v>77.01058570236818</v>
      </c>
      <c r="C6" s="31">
        <v>79.51710567962306</v>
      </c>
      <c r="D6" s="31">
        <v>82.31842449158282</v>
      </c>
      <c r="E6" s="31">
        <v>85.47083655232969</v>
      </c>
      <c r="F6" s="31">
        <v>89.0459438622689</v>
      </c>
    </row>
    <row r="7" spans="1:6" x14ac:dyDescent="0.25">
      <c r="A7" s="30">
        <v>0.118551</v>
      </c>
      <c r="B7" s="31">
        <v>69.93022486769229</v>
      </c>
      <c r="C7" s="31">
        <v>71.86376907857542</v>
      </c>
      <c r="D7" s="32">
        <v>73.99953653705457</v>
      </c>
      <c r="E7" s="31">
        <v>76.37178262944882</v>
      </c>
      <c r="F7" s="31">
        <v>79.02296261672129</v>
      </c>
    </row>
    <row r="8" spans="1:6" x14ac:dyDescent="0.25">
      <c r="A8" s="30">
        <v>0.128551</v>
      </c>
      <c r="B8" s="31">
        <v>64.08537590503887</v>
      </c>
      <c r="C8" s="31">
        <v>65.60700261569337</v>
      </c>
      <c r="D8" s="31">
        <v>67.27170272617177</v>
      </c>
      <c r="E8" s="31">
        <v>69.10125278868924</v>
      </c>
      <c r="F8" s="31">
        <v>71.12208490210722</v>
      </c>
    </row>
    <row r="9" spans="1:6" x14ac:dyDescent="0.25">
      <c r="A9" s="30">
        <v>0.138551</v>
      </c>
      <c r="B9" s="31">
        <v>59.17649256816514</v>
      </c>
      <c r="C9" s="31">
        <v>60.393934337648645</v>
      </c>
      <c r="D9" s="31">
        <v>61.71519858823478</v>
      </c>
      <c r="E9" s="31">
        <v>63.15463191476414</v>
      </c>
      <c r="F9" s="31">
        <v>64.72935183555279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7806816000</v>
      </c>
      <c r="C5" s="18">
        <v>7711541000</v>
      </c>
      <c r="D5" s="18">
        <v>7750652000</v>
      </c>
      <c r="E5" s="18">
        <v>8674417000</v>
      </c>
      <c r="F5" s="8" t="s">
        <v>84</v>
      </c>
    </row>
    <row r="6" spans="1:6" x14ac:dyDescent="0.25">
      <c r="A6" t="s">
        <v>44</v>
      </c>
      <c r="B6" s="18">
        <v>1415722000</v>
      </c>
      <c r="C6" s="18">
        <v>1430184000</v>
      </c>
      <c r="D6" s="18">
        <v>1244193000</v>
      </c>
      <c r="E6" s="18">
        <v>1498422000</v>
      </c>
      <c r="F6" s="8" t="s">
        <v>85</v>
      </c>
    </row>
    <row r="7" spans="1:6" x14ac:dyDescent="0.25">
      <c r="A7" t="s">
        <v>86</v>
      </c>
      <c r="B7" s="18">
        <v>231449000</v>
      </c>
      <c r="C7" s="18">
        <v>229802000</v>
      </c>
      <c r="D7" s="18">
        <v>232590000</v>
      </c>
      <c r="E7" s="18">
        <v>214153000</v>
      </c>
      <c r="F7" s="8" t="s">
        <v>87</v>
      </c>
    </row>
    <row r="8" spans="1:6" x14ac:dyDescent="0.25">
      <c r="A8" t="s">
        <v>88</v>
      </c>
      <c r="B8" s="18">
        <v>259438000</v>
      </c>
      <c r="C8" s="18">
        <v>221567000</v>
      </c>
      <c r="D8" s="18">
        <v>188458000</v>
      </c>
      <c r="E8" s="18">
        <v>354117000</v>
      </c>
      <c r="F8" s="8" t="s">
        <v>89</v>
      </c>
    </row>
    <row r="9" spans="1:6" x14ac:dyDescent="0.25">
      <c r="A9" t="s">
        <v>90</v>
      </c>
      <c r="B9" s="18">
        <v>388532000</v>
      </c>
      <c r="C9" s="18">
        <v>342932000</v>
      </c>
      <c r="D9" s="18">
        <v>-167893000</v>
      </c>
      <c r="E9" s="18">
        <v>609807000</v>
      </c>
      <c r="F9" s="8" t="s">
        <v>91</v>
      </c>
    </row>
    <row r="10" spans="1:6" x14ac:dyDescent="0.25">
      <c r="A10" t="s">
        <v>92</v>
      </c>
      <c r="B10" s="18">
        <v>1456905000</v>
      </c>
      <c r="C10" s="18">
        <v>1347315000</v>
      </c>
      <c r="D10" s="18">
        <v>1390621000</v>
      </c>
      <c r="E10" s="18">
        <v>1443658000</v>
      </c>
      <c r="F10" s="8" t="s">
        <v>93</v>
      </c>
    </row>
    <row r="11" spans="1:6" x14ac:dyDescent="0.25">
      <c r="A11" t="s">
        <v>94</v>
      </c>
      <c r="B11" s="18">
        <v>1019801000</v>
      </c>
      <c r="C11" s="18">
        <v>1212977000</v>
      </c>
      <c r="D11" s="18">
        <v>1262007000</v>
      </c>
      <c r="E11" s="18">
        <v>367344000</v>
      </c>
      <c r="F11" s="8" t="s">
        <v>95</v>
      </c>
    </row>
    <row r="12" spans="1:6" x14ac:dyDescent="0.25">
      <c r="A12" t="s">
        <v>32</v>
      </c>
      <c r="B12" s="34">
        <v>123153000</v>
      </c>
      <c r="C12" s="34">
        <v>128041000</v>
      </c>
      <c r="D12" s="34">
        <v>130544000</v>
      </c>
      <c r="E12" s="34">
        <v>138200000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2026-09-19T01:05:24Z</dcterms:modified>
</cp:coreProperties>
</file>