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<sst xmlns="http://schemas.openxmlformats.org/spreadsheetml/2006/main" count="113" uniqueCount="101">
  <si>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West Pharmaceutical Services, Inc. (WST)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</si>
  <si>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</si>
  <si>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</si>
  <si>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</si>
  <si>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</si>
  <si>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</si>
  <si>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</si>
  <si>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</si>
  <si>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</si>
  <si>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</si>
  <si>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</si>
  <si>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</si>
  <si>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</si>
  <si>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</si>
  <si>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</si>
  <si>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</si>
  <si>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</si>
  <si>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</si>
  <si>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</si>
  <si>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</si>
  <si>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</si>
  <si>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</si>
  <si>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</si>
  <si>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</si>
  <si>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</si>
  <si>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</si>
  <si>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</si>
  <si>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</si>
  <si>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</si>
  <si>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</si>
  <si>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</si>
  <si>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</si>
  <si>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</si>
  <si>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</si>
  <si>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</si>
  <si>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</si>
  <si>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</si>
  <si>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</si>
  <si>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</si>
  <si>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</si>
  <si>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</si>
  <si>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</si>
  <si>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</si>
  <si>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</si>
  <si>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</si>
  <si>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</si>
  <si>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</si>
  <si>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</si>
  <si>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</si>
  <si>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</si>
  <si>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</si>
  <si>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</si>
  <si>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</si>
  <si>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</si>
  <si>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</si>
  <si>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</si>
  <si>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</si>
  <si>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</si>
  <si>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</si>
  <si>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</si>
  <si>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</si>
  <si>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</si>
  <si>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</si>
  <si>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</si>
  <si>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</si>
  <si>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</si>
  <si>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</si>
  <si>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</si>
  <si>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</si>
  <si>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</si>
  <si>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</si>
  <si>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</si>
  <si>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</si>
  <si>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</si>
  <si>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</si>
  <si>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</si>
  <si>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</si>
  <si>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</si>
  <si>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</si>
  <si>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</si>
  <si>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</si>
  <si>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</si>
  <si>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</si>
  <si>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</si>
  <si>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</si>
  <si>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</si>
  <si>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</si>
  <si>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</si>
  <si>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</si>
  <si>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</si>
  <si>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</si>
  <si>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</si>
  <si>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</si>
  <si>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</si>
  <si>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</si>
  <si>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</si>
  <si>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</si>
  <si>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</si>
  <si>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11.1% of revenue against depreciation of 4.9%. A perpetuity has to be a steady state, so the terminal year uses maintenance capex at depreciation and then charges the reinvestment terminal growth requires (g/ROIC of NOPAT). The bridge is shown under Terminal Value.</t>
  </si>
  <si>
    <t>Current EV/EBITDA of 31.0x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</si>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</sst>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0.021163814176677676</v>
      </c>
    </row>
    <row r="7" spans="1:2" x14ac:dyDescent="0.25">
      <c r="A7" t="s">
        <v>5</v>
      </c>
      <c r="B7" s="6">
        <v>0.22862700561275198</v>
      </c>
    </row>
    <row r="8" spans="1:2" x14ac:dyDescent="0.25">
      <c r="A8" t="s">
        <v>6</v>
      </c>
      <c r="B8" s="6">
        <v>0.1794093285928565</v>
      </c>
    </row>
    <row r="9" spans="1:2" x14ac:dyDescent="0.25">
      <c r="A9" t="s">
        <v>7</v>
      </c>
      <c r="B9" s="6">
        <v>0.04944718792136252</v>
      </c>
    </row>
    <row r="10" spans="1:2" x14ac:dyDescent="0.25">
      <c r="A10" t="s">
        <v>8</v>
      </c>
      <c r="B10" s="6">
        <v>0.11115295348631102</v>
      </c>
    </row>
    <row r="11" spans="1:2" x14ac:dyDescent="0.25">
      <c r="A11" t="s">
        <v>9</v>
      </c>
      <c r="B11" s="6">
        <v>0.05123674911660778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0.17803546390295213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1.0904500000000001</v>
      </c>
      <c r="C19" s="8" t="s">
        <v>19</v>
      </c>
    </row>
    <row r="20" spans="1:2" x14ac:dyDescent="0.25">
      <c r="A20" t="s">
        <v>20</v>
      </c>
      <c r="B20" s="10">
        <f>B17+B19*B18</f>
        <v>0.10995475000000002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25497841664</v>
      </c>
    </row>
    <row r="23" spans="1:2" x14ac:dyDescent="0.25">
      <c r="A23" t="s">
        <v>24</v>
      </c>
      <c r="B23" s="11">
        <v>321100000</v>
      </c>
    </row>
    <row r="24" spans="1:2" x14ac:dyDescent="0.25">
      <c r="A24" t="s">
        <v>25</v>
      </c>
      <c r="B24" s="10">
        <f>B22/(B22+B23)</f>
        <v>0.9875633941863807</v>
      </c>
    </row>
    <row r="25" spans="1:2" x14ac:dyDescent="0.25">
      <c r="A25" t="s">
        <v>26</v>
      </c>
      <c r="B25" s="10">
        <f>1-B24</f>
        <v>0.012436605813619273</v>
      </c>
    </row>
    <row r="26" spans="1:2" x14ac:dyDescent="0.25">
      <c r="A26" t="s">
        <v>27</v>
      </c>
      <c r="B26" s="12">
        <f>B24*B20+B25*B21*(1-B8)</f>
        <v>0.10909735014539186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3074100000</v>
      </c>
      <c r="C29" s="8" t="s">
        <v>30</v>
      </c>
    </row>
    <row r="30" spans="1:2" x14ac:dyDescent="0.25">
      <c r="A30" t="s">
        <v>31</v>
      </c>
      <c r="B30" s="11">
        <v>-470200000</v>
      </c>
    </row>
    <row r="31" spans="1:2" x14ac:dyDescent="0.25">
      <c r="A31" t="s">
        <v>32</v>
      </c>
      <c r="B31" s="13">
        <v>72700000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0.021163814176677676</v>
      </c>
      <c r="C5" s="10">
        <f>Assumptions!B6</f>
        <v>0.021163814176677676</v>
      </c>
      <c r="D5" s="10">
        <f>Assumptions!B6</f>
        <v>0.021163814176677676</v>
      </c>
      <c r="E5" s="10">
        <f>Assumptions!B6</f>
        <v>0.021163814176677676</v>
      </c>
      <c r="F5" s="10">
        <f>Assumptions!B6</f>
        <v>0.021163814176677676</v>
      </c>
    </row>
    <row r="6" spans="1:6" x14ac:dyDescent="0.25">
      <c r="A6" t="s">
        <v>43</v>
      </c>
      <c r="B6" s="18">
        <f>Assumptions!B29*(1+B5)</f>
        <v>3139159681.160525</v>
      </c>
      <c r="C6" s="18">
        <f>B6*(1+C5)</f>
        <v>3205596273.323525</v>
      </c>
      <c r="D6" s="18">
        <f>C6*(1+D5)</f>
        <v>3273438917.1775947</v>
      </c>
      <c r="E6" s="18">
        <f>D6*(1+E5)</f>
        <v>3342717370.1394463</v>
      </c>
      <c r="F6" s="18">
        <f>E6*(1+F5)</f>
        <v>3413462019.40623</v>
      </c>
    </row>
    <row r="7" spans="1:6" x14ac:dyDescent="0.25">
      <c r="A7" t="s">
        <v>5</v>
      </c>
      <c r="B7" s="10">
        <f>Assumptions!B7</f>
        <v>0.22862700561275198</v>
      </c>
      <c r="C7" s="10">
        <f>Assumptions!B7</f>
        <v>0.22862700561275198</v>
      </c>
      <c r="D7" s="10">
        <f>Assumptions!B7</f>
        <v>0.22862700561275198</v>
      </c>
      <c r="E7" s="10">
        <f>Assumptions!B7</f>
        <v>0.22862700561275198</v>
      </c>
      <c r="F7" s="10">
        <f>Assumptions!B7</f>
        <v>0.22862700561275198</v>
      </c>
    </row>
    <row r="8" spans="1:6" x14ac:dyDescent="0.25">
      <c r="A8" t="s">
        <v>44</v>
      </c>
      <c r="B8" s="18">
        <f>B6*B7</f>
        <v>717696678.0440121</v>
      </c>
      <c r="C8" s="18">
        <f>C6*C7</f>
        <v>732885877.1733544</v>
      </c>
      <c r="D8" s="18">
        <f>D6*D7</f>
        <v>748396537.6905627</v>
      </c>
      <c r="E8" s="18">
        <f>E6*E7</f>
        <v>764235462.9447148</v>
      </c>
      <c r="F8" s="18">
        <f>F6*F7</f>
        <v>780409600.2697039</v>
      </c>
    </row>
    <row r="9" spans="1:6" x14ac:dyDescent="0.25">
      <c r="A9" t="s">
        <v>45</v>
      </c>
      <c r="B9" s="18">
        <f>B8*(1-Assumptions!B8)</f>
        <v>588935198.9028124</v>
      </c>
      <c r="C9" s="18">
        <f>C8*(1-Assumptions!B8)</f>
        <v>601399314.0144962</v>
      </c>
      <c r="D9" s="18">
        <f>D8*(1-Assumptions!B8)</f>
        <v>614127217.3422804</v>
      </c>
      <c r="E9" s="18">
        <f>E8*(1-Assumptions!B8)</f>
        <v>627124491.6509526</v>
      </c>
      <c r="F9" s="18">
        <f>F8*(1-Assumptions!B8)</f>
        <v>640396837.8578968</v>
      </c>
    </row>
    <row r="10" spans="1:6" x14ac:dyDescent="0.25">
      <c r="A10" t="s">
        <v>46</v>
      </c>
      <c r="B10" s="18">
        <f>B6*Assumptions!B9</f>
        <v>155222618.6695089</v>
      </c>
      <c r="C10" s="18">
        <f>C6*Assumptions!B9</f>
        <v>158507721.3270477</v>
      </c>
      <c r="D10" s="18">
        <f>D6*Assumptions!B9</f>
        <v>161862349.28678197</v>
      </c>
      <c r="E10" s="18">
        <f>E6*Assumptions!B9</f>
        <v>165287973.9692879</v>
      </c>
      <c r="F10" s="18">
        <f>F6*Assumptions!B9</f>
        <v>168786097.93601343</v>
      </c>
    </row>
    <row r="11" spans="1:6" x14ac:dyDescent="0.25">
      <c r="A11" t="s">
        <v>47</v>
      </c>
      <c r="B11" s="18">
        <f>-B6*Assumptions!B10</f>
        <v>-348926870.0261387</v>
      </c>
      <c r="C11" s="18">
        <f>-C6*Assumptions!B10</f>
        <v>-356311493.4646217</v>
      </c>
      <c r="D11" s="18">
        <f>-D6*Assumptions!B10</f>
        <v>-363852403.7013215</v>
      </c>
      <c r="E11" s="18">
        <f>-E6*Assumptions!B10</f>
        <v>-371552908.36099374</v>
      </c>
      <c r="F11" s="18">
        <f>-F6*Assumptions!B10</f>
        <v>-379416385.07034993</v>
      </c>
    </row>
    <row r="12" spans="1:6" x14ac:dyDescent="0.25">
      <c r="A12" t="s">
        <v>48</v>
      </c>
      <c r="B12" s="18">
        <f>-(B6-Assumptions!B29)*Assumptions!B11</f>
        <v>-3333446.561228305</v>
      </c>
      <c r="C12" s="18">
        <f>-(C6-B6)*Assumptions!B11</f>
        <v>-3403995.004818027</v>
      </c>
      <c r="D12" s="18">
        <f>-(D6-C6)*Assumptions!B11</f>
        <v>-3476036.522558342</v>
      </c>
      <c r="E12" s="18">
        <f>-(E6-D6)*Assumptions!B11</f>
        <v>-3549602.7135931035</v>
      </c>
      <c r="F12" s="18">
        <f>-(F6-E6)*Assumptions!B11</f>
        <v>-3624725.8458246076</v>
      </c>
    </row>
    <row r="13" spans="1:6" x14ac:dyDescent="0.25">
      <c r="A13" s="19" t="s">
        <v>49</v>
      </c>
      <c r="B13" s="20">
        <f>B9+B10+B11+B12</f>
        <v>391897500.98495424</v>
      </c>
      <c r="C13" s="20">
        <f>C9+C10+C11+C12</f>
        <v>400191546.87210417</v>
      </c>
      <c r="D13" s="20">
        <f>D9+D10+D11+D12</f>
        <v>408661126.4051826</v>
      </c>
      <c r="E13" s="20">
        <f>E9+E10+E11+E12</f>
        <v>417309954.5456536</v>
      </c>
      <c r="F13" s="20">
        <f>F9+F10+F11+F12</f>
        <v>426141824.87773573</v>
      </c>
    </row>
    <row r="14" spans="1:6" x14ac:dyDescent="0.25">
      <c r="A14" t="s">
        <v>50</v>
      </c>
      <c r="B14" s="21">
        <f>1/(1+Assumptions!$B$26)^(1-0.5*Assumptions!$B$32)</f>
        <v>0.9495441580120818</v>
      </c>
      <c r="C14" s="21">
        <f>1/(1+Assumptions!$B$26)^(2-0.5*Assumptions!$B$32)</f>
        <v>0.8561413999299573</v>
      </c>
      <c r="D14" s="21">
        <f>1/(1+Assumptions!$B$26)^(3-0.5*Assumptions!$B$32)</f>
        <v>0.7719262874604521</v>
      </c>
      <c r="E14" s="21">
        <f>1/(1+Assumptions!$B$26)^(4-0.5*Assumptions!$B$32)</f>
        <v>0.6959950696476375</v>
      </c>
      <c r="F14" s="21">
        <f>1/(1+Assumptions!$B$26)^(5-0.5*Assumptions!$B$32)</f>
        <v>0.6275328938044972</v>
      </c>
    </row>
    <row r="15" spans="1:6" x14ac:dyDescent="0.25">
      <c r="A15" s="19" t="s">
        <v>51</v>
      </c>
      <c r="B15" s="20">
        <f>B13*B14</f>
        <v>372123982.59979737</v>
      </c>
      <c r="C15" s="20">
        <f>C13*C14</f>
        <v>342620551.1792184</v>
      </c>
      <c r="D15" s="20">
        <f>D13*D14</f>
        <v>315456266.13535917</v>
      </c>
      <c r="E15" s="20">
        <f>E13*E14</f>
        <v>290445670.8786546</v>
      </c>
      <c r="F15" s="20">
        <f>F13*F14</f>
        <v>267418012.53665477</v>
      </c>
    </row>
    <row r="17" spans="1:2" x14ac:dyDescent="0.25">
      <c r="A17" s="22" t="s">
        <v>52</v>
      </c>
      <c r="B17" s="23">
        <f>SUM(B15:F15)</f>
        <v>1588064483.3296843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426141824.87773573</v>
      </c>
    </row>
    <row r="5" spans="1:2" x14ac:dyDescent="0.25">
      <c r="A5" t="s">
        <v>56</v>
      </c>
      <c r="B5" s="18">
        <f>IF(Assumptions!$B$33=0,B4,B4-Forecast!F11-Forecast!F10-Forecast!F12)</f>
        <v>643658110.4913894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0.1404214612748593</v>
      </c>
    </row>
    <row r="7" spans="1:2" x14ac:dyDescent="0.25">
      <c r="A7" t="s">
        <v>58</v>
      </c>
      <c r="B7" s="18">
        <f>-MAX(Forecast!F9,0)*B6</f>
        <v>-90383412.43661575</v>
      </c>
    </row>
    <row r="8" spans="1:2" x14ac:dyDescent="0.25">
      <c r="A8" t="s">
        <v>59</v>
      </c>
      <c r="B8" s="18">
        <f>IF(OR(Assumptions!$B$33=0,Assumptions!B12&lt;=0),B5,MAX(B5+B7,0))</f>
        <v>553274698.0547737</v>
      </c>
    </row>
    <row r="9" spans="1:2" x14ac:dyDescent="0.25">
      <c r="A9" t="s">
        <v>60</v>
      </c>
      <c r="B9" s="18">
        <f>B8*(1+Assumptions!B12)/(Assumptions!B26-Assumptions!B12)</f>
        <v>6743453444.439091</v>
      </c>
    </row>
    <row r="10" spans="1:2" x14ac:dyDescent="0.25">
      <c r="A10" t="s">
        <v>61</v>
      </c>
      <c r="B10" s="18">
        <f>B9/(1+Assumptions!B26)^(5-0.5*Assumptions!B32)</f>
        <v>4231738854.2247667</v>
      </c>
    </row>
    <row r="11" spans="1:2" x14ac:dyDescent="0.25">
      <c r="A11" t="s">
        <v>62</v>
      </c>
      <c r="B11" s="18">
        <f>Forecast!B17+B10</f>
        <v>5819803337.554451</v>
      </c>
    </row>
    <row r="12" spans="1:2" x14ac:dyDescent="0.25">
      <c r="A12" t="s">
        <v>63</v>
      </c>
      <c r="B12" s="18">
        <f>-Assumptions!B30</f>
        <v>470200000</v>
      </c>
    </row>
    <row r="13" spans="1:2" x14ac:dyDescent="0.25">
      <c r="A13" t="s">
        <v>64</v>
      </c>
      <c r="B13" s="18">
        <f>B11+B12</f>
        <v>6290003337.554451</v>
      </c>
    </row>
    <row r="14" spans="1:2" x14ac:dyDescent="0.25">
      <c r="A14" s="19" t="s">
        <v>65</v>
      </c>
      <c r="B14" s="24">
        <f>B13/Assumptions!B31</f>
        <v>86.51999088795668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949195698.2057173</v>
      </c>
    </row>
    <row r="18" spans="1:2" x14ac:dyDescent="0.25">
      <c r="A18" t="s">
        <v>60</v>
      </c>
      <c r="B18" s="18">
        <f>B17*Assumptions!B13</f>
        <v>18983913964.114346</v>
      </c>
    </row>
    <row r="19" spans="1:2" x14ac:dyDescent="0.25">
      <c r="A19" t="s">
        <v>61</v>
      </c>
      <c r="B19" s="18">
        <f>B18/(1+Assumptions!B26)^(5-0.5*Assumptions!B32)</f>
        <v>11913030465.636278</v>
      </c>
    </row>
    <row r="20" spans="1:2" x14ac:dyDescent="0.25">
      <c r="A20" t="s">
        <v>62</v>
      </c>
      <c r="B20" s="18">
        <f>Forecast!B17+B19</f>
        <v>13501094948.965961</v>
      </c>
    </row>
    <row r="21" spans="1:2" x14ac:dyDescent="0.25">
      <c r="A21" t="s">
        <v>63</v>
      </c>
      <c r="B21" s="18">
        <f>-Assumptions!B30</f>
        <v>470200000</v>
      </c>
    </row>
    <row r="22" spans="1:2" x14ac:dyDescent="0.25">
      <c r="A22" t="s">
        <v>64</v>
      </c>
      <c r="B22" s="18">
        <f>B20+B21</f>
        <v>13971294948.965961</v>
      </c>
    </row>
    <row r="23" spans="1:2" x14ac:dyDescent="0.25">
      <c r="A23" s="19" t="s">
        <v>65</v>
      </c>
      <c r="B23" s="25">
        <f>B22/Assumptions!B31</f>
        <v>192.17737206280552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362.31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86.51999088795668</v>
      </c>
    </row>
    <row r="29" spans="1:2" x14ac:dyDescent="0.25">
      <c r="A29" s="19" t="s">
        <v>73</v>
      </c>
      <c r="B29" s="12">
        <f>B28/B26-1</f>
        <v>-0.7611989984048007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0.089097</v>
      </c>
      <c r="B5" s="31">
        <v>104.90942272759997</v>
      </c>
      <c r="C5" s="31">
        <v>108.28268885603048</v>
      </c>
      <c r="D5" s="31">
        <v>112.15580931278603</v>
      </c>
      <c r="E5" s="31">
        <v>116.65565711891469</v>
      </c>
      <c r="F5" s="31">
        <v>121.95601104663298</v>
      </c>
    </row>
    <row r="6" spans="1:6" x14ac:dyDescent="0.25">
      <c r="A6" s="30">
        <v>0.099097</v>
      </c>
      <c r="B6" s="31">
        <v>92.74221046876315</v>
      </c>
      <c r="C6" s="31">
        <v>95.02459240621961</v>
      </c>
      <c r="D6" s="31">
        <v>97.59306638152346</v>
      </c>
      <c r="E6" s="31">
        <v>100.50973900665075</v>
      </c>
      <c r="F6" s="31">
        <v>103.85609583860656</v>
      </c>
    </row>
    <row r="7" spans="1:6" x14ac:dyDescent="0.25">
      <c r="A7" s="30">
        <v>0.109097</v>
      </c>
      <c r="B7" s="31">
        <v>83.19299196884072</v>
      </c>
      <c r="C7" s="31">
        <v>84.77205560760872</v>
      </c>
      <c r="D7" s="32">
        <v>86.52033204257013</v>
      </c>
      <c r="E7" s="31">
        <v>88.46991088449283</v>
      </c>
      <c r="F7" s="31">
        <v>90.66154325831327</v>
      </c>
    </row>
    <row r="8" spans="1:6" x14ac:dyDescent="0.25">
      <c r="A8" s="30">
        <v>0.119097</v>
      </c>
      <c r="B8" s="31">
        <v>75.50559184718783</v>
      </c>
      <c r="C8" s="31">
        <v>76.6136302568166</v>
      </c>
      <c r="D8" s="31">
        <v>77.82349768856162</v>
      </c>
      <c r="E8" s="31">
        <v>79.15233765266163</v>
      </c>
      <c r="F8" s="31">
        <v>80.62137073945075</v>
      </c>
    </row>
    <row r="9" spans="1:6" x14ac:dyDescent="0.25">
      <c r="A9" s="30">
        <v>0.129097</v>
      </c>
      <c r="B9" s="31">
        <v>69.18903488402132</v>
      </c>
      <c r="C9" s="31">
        <v>69.97214063876096</v>
      </c>
      <c r="D9" s="31">
        <v>70.8166437987757</v>
      </c>
      <c r="E9" s="31">
        <v>71.73183789544532</v>
      </c>
      <c r="F9" s="31">
        <v>72.72899176890091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3074100000</v>
      </c>
      <c r="C5" s="18">
        <v>2893200000</v>
      </c>
      <c r="D5" s="18">
        <v>2949800000</v>
      </c>
      <c r="E5" s="18">
        <v>2886900000</v>
      </c>
      <c r="F5" s="8" t="s">
        <v>84</v>
      </c>
    </row>
    <row r="6" spans="1:6" x14ac:dyDescent="0.25">
      <c r="A6" t="s">
        <v>44</v>
      </c>
      <c r="B6" s="18">
        <v>636100000</v>
      </c>
      <c r="C6" s="18">
        <v>590900000</v>
      </c>
      <c r="D6" s="18">
        <v>707400000</v>
      </c>
      <c r="E6" s="18">
        <v>760800000</v>
      </c>
      <c r="F6" s="8" t="s">
        <v>85</v>
      </c>
    </row>
    <row r="7" spans="1:6" x14ac:dyDescent="0.25">
      <c r="A7" t="s">
        <v>86</v>
      </c>
      <c r="B7" s="18">
        <v>171400000</v>
      </c>
      <c r="C7" s="18">
        <v>155400000</v>
      </c>
      <c r="D7" s="18">
        <v>137300000</v>
      </c>
      <c r="E7" s="18">
        <v>120600000</v>
      </c>
      <c r="F7" s="8" t="s">
        <v>87</v>
      </c>
    </row>
    <row r="8" spans="1:6" x14ac:dyDescent="0.25">
      <c r="A8" t="s">
        <v>88</v>
      </c>
      <c r="B8" s="18">
        <v>285900000</v>
      </c>
      <c r="C8" s="18">
        <v>377000000</v>
      </c>
      <c r="D8" s="18">
        <v>362000000</v>
      </c>
      <c r="E8" s="18">
        <v>284600000</v>
      </c>
      <c r="F8" s="8" t="s">
        <v>89</v>
      </c>
    </row>
    <row r="9" spans="1:6" x14ac:dyDescent="0.25">
      <c r="A9" t="s">
        <v>90</v>
      </c>
      <c r="B9" s="18">
        <v>-79800000</v>
      </c>
      <c r="C9" s="18">
        <v>-2900000</v>
      </c>
      <c r="D9" s="18">
        <v>20400000</v>
      </c>
      <c r="E9" s="18">
        <v>15000000</v>
      </c>
      <c r="F9" s="8" t="s">
        <v>91</v>
      </c>
    </row>
    <row r="10" spans="1:6" x14ac:dyDescent="0.25">
      <c r="A10" t="s">
        <v>92</v>
      </c>
      <c r="B10" s="18">
        <v>321100000</v>
      </c>
      <c r="C10" s="18">
        <v>302300000</v>
      </c>
      <c r="D10" s="18">
        <v>309000000</v>
      </c>
      <c r="E10" s="18">
        <v>317900000</v>
      </c>
      <c r="F10" s="8" t="s">
        <v>93</v>
      </c>
    </row>
    <row r="11" spans="1:6" x14ac:dyDescent="0.25">
      <c r="A11" t="s">
        <v>94</v>
      </c>
      <c r="B11" s="18">
        <v>791300000</v>
      </c>
      <c r="C11" s="18">
        <v>484600000</v>
      </c>
      <c r="D11" s="18">
        <v>853900000</v>
      </c>
      <c r="E11" s="18">
        <v>894300000</v>
      </c>
      <c r="F11" s="8" t="s">
        <v>95</v>
      </c>
    </row>
    <row r="12" spans="1:6" x14ac:dyDescent="0.25">
      <c r="A12" t="s">
        <v>32</v>
      </c>
      <c r="B12" s="34">
        <v>72700000</v>
      </c>
      <c r="C12" s="34">
        <v>73700000</v>
      </c>
      <c r="D12" s="34">
        <v>75300000</v>
      </c>
      <c r="E12" s="34">
        <v>75800000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38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2026-09-19T01:04:47Z</dcterms:modified>
</cp:coreProperties>
</file>