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<sst xmlns="http://schemas.openxmlformats.org/spreadsheetml/2006/main" count="121" uniqueCount="108">
  <si>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West Pharmaceutical Services, Inc. (WST)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</si>
  <si>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</si>
  <si>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</si>
  <si>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</si>
  <si>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</si>
  <si>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</si>
  <si>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</si>
  <si>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</si>
  <si>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</si>
  <si>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</si>
  <si>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</si>
  <si>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</si>
  <si>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</si>
  <si>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</si>
  <si>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</si>
  <si>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</si>
  <si>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</si>
  <si>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</si>
  <si>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</si>
  <si>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</si>
  <si>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</si>
  <si>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</si>
  <si>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</si>
  <si>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</si>
  <si>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1272.2x interest cover. Book interest / average debt was lower, at 0.2%.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</si>
  <si>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</si>
  <si>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</si>
  <si>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</si>
  <si>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</si>
  <si>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</si>
  <si>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</si>
  <si>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</si>
  <si>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</si>
  <si>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</si>
  <si>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</si>
  <si>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</si>
  <si>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</si>
  <si>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</si>
  <si>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</si>
  <si>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</si>
  <si>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</si>
  <si>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</si>
  <si>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</si>
  <si>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</si>
  <si>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</si>
  <si>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</si>
  <si>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</si>
  <si>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</si>
  <si>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</si>
  <si>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</si>
  <si>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</si>
  <si>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</si>
  <si>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</si>
  <si>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</si>
  <si>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</si>
  <si>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</si>
  <si>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</si>
  <si>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</si>
  <si>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</si>
  <si>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</si>
  <si>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</si>
  <si>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</si>
  <si>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</si>
  <si>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</si>
  <si>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</si>
  <si>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</si>
  <si>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</si>
  <si>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</si>
  <si>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</si>
  <si>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</si>
  <si>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</si>
  <si>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</si>
  <si>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</si>
  <si>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</si>
  <si>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</si>
  <si>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</si>
  <si>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</si>
  <si>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</si>
  <si>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</si>
  <si>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</si>
  <si>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</si>
  <si>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</si>
  <si>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</si>
  <si>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</si>
  <si>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</si>
  <si>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</si>
  <si>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</si>
  <si>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</si>
  <si>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</si>
  <si>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</si>
  <si>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</si>
  <si>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</si>
  <si>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</si>
  <si>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</si>
  <si>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</si>
  <si>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</si>
  <si>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</si>
  <si>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</si>
  <si>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</si>
  <si>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</si>
  <si>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</si>
  <si>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</si>
  <si>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</si>
  <si>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</si>
  <si>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</si>
  <si>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11.1% of revenue against depreciation of 4.9%.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</si>
  <si>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35.0x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</si>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</sst>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0.11283736052828464</v>
      </c>
    </row>
    <row r="7" spans="1:2" x14ac:dyDescent="0.25">
      <c r="A7" t="s">
        <v>4</v>
      </c>
      <c r="B7" s="5">
        <v>0.22862700561275198</v>
      </c>
    </row>
    <row r="8" spans="1:2" x14ac:dyDescent="0.25">
      <c r="A8" t="s">
        <v>5</v>
      </c>
      <c r="B8" s="5">
        <v>0.1794093285928565</v>
      </c>
    </row>
    <row r="9" spans="1:2" x14ac:dyDescent="0.25">
      <c r="A9" t="s">
        <v>6</v>
      </c>
      <c r="B9" s="5">
        <v>0.04944718792136252</v>
      </c>
    </row>
    <row r="10" spans="1:3" x14ac:dyDescent="0.25">
      <c r="A10" t="s">
        <v>7</v>
      </c>
      <c r="B10" s="5">
        <v>0.11115295348631102</v>
      </c>
      <c r="C10" s="6" t="s">
        <v>8</v>
      </c>
    </row>
    <row r="11" spans="1:2" x14ac:dyDescent="0.25">
      <c r="A11" t="s">
        <v>9</v>
      </c>
      <c r="B11" s="5">
        <v>0.2417960222639069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0.17803546390295213</v>
      </c>
      <c r="C14" s="6" t="s">
        <v>13</v>
      </c>
    </row>
    <row r="15" spans="1:3" x14ac:dyDescent="0.25">
      <c r="A15" t="s">
        <v>14</v>
      </c>
      <c r="B15" s="5">
        <v>0.04828288642484623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1.08375</v>
      </c>
      <c r="C19" s="6" t="s">
        <v>21</v>
      </c>
    </row>
    <row r="20" spans="1:2" x14ac:dyDescent="0.25">
      <c r="A20" t="s">
        <v>22</v>
      </c>
      <c r="B20" s="9">
        <f>B17+B19*B18</f>
        <v>0.09478262500000001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28743538688</v>
      </c>
    </row>
    <row r="23" spans="1:2" x14ac:dyDescent="0.25">
      <c r="A23" t="s">
        <v>26</v>
      </c>
      <c r="B23" s="10">
        <v>321100000</v>
      </c>
    </row>
    <row r="24" spans="1:2" x14ac:dyDescent="0.25">
      <c r="A24" t="s">
        <v>27</v>
      </c>
      <c r="B24" s="9">
        <f>B22/(B22+B23)</f>
        <v>0.9889522108481406</v>
      </c>
    </row>
    <row r="25" spans="1:2" x14ac:dyDescent="0.25">
      <c r="A25" t="s">
        <v>28</v>
      </c>
      <c r="B25" s="9">
        <f>1-B24</f>
        <v>0.011047789151859444</v>
      </c>
    </row>
    <row r="26" spans="1:2" x14ac:dyDescent="0.25">
      <c r="A26" t="s">
        <v>29</v>
      </c>
      <c r="B26" s="11">
        <f>B24*B20+B25*B21*(1-B8)</f>
        <v>0.0942154253750147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3074100000</v>
      </c>
      <c r="C29" s="6" t="s">
        <v>32</v>
      </c>
    </row>
    <row r="30" spans="1:2" x14ac:dyDescent="0.25">
      <c r="A30" t="s">
        <v>33</v>
      </c>
      <c r="B30" s="10">
        <v>-470200000</v>
      </c>
    </row>
    <row r="31" spans="1:2" x14ac:dyDescent="0.25">
      <c r="A31" t="s">
        <v>34</v>
      </c>
      <c r="B31" s="12">
        <v>72700000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0.11283736052828464</v>
      </c>
      <c r="C5" s="5">
        <v>0.06007722954098571</v>
      </c>
      <c r="D5" s="5">
        <v>0.0556925758483625</v>
      </c>
      <c r="E5" s="5">
        <v>0.05130792215573928</v>
      </c>
      <c r="F5" s="5">
        <v>0.04692326846311607</v>
      </c>
      <c r="G5" s="5">
        <v>0.04253861477049285</v>
      </c>
      <c r="H5" s="5">
        <v>0.03815396107786964</v>
      </c>
      <c r="I5" s="5">
        <v>0.03376930738524643</v>
      </c>
      <c r="J5" s="5">
        <v>0.029384653692623216</v>
      </c>
      <c r="K5" s="5">
        <v>0.025</v>
      </c>
    </row>
    <row r="6" spans="1:11" x14ac:dyDescent="0.25">
      <c r="A6" t="s">
        <v>50</v>
      </c>
      <c r="B6" s="18">
        <f>Assumptions!B29*(1+B5)</f>
        <v>3420973330</v>
      </c>
      <c r="C6" s="18">
        <f>B6*(1+C5)</f>
        <v>3626495930.0000005</v>
      </c>
      <c r="D6" s="18">
        <f>C6*(1+D5)</f>
        <v>3828464829.6453032</v>
      </c>
      <c r="E6" s="18">
        <f>D6*(1+E5)</f>
        <v>4024895405.1007304</v>
      </c>
      <c r="F6" s="18">
        <f>E6*(1+F5)</f>
        <v>4213756652.730234</v>
      </c>
      <c r="G6" s="18">
        <f>F6*(1+G5)</f>
        <v>4393004023.717327</v>
      </c>
      <c r="H6" s="18">
        <f>G6*(1+H5)</f>
        <v>4560614528.253162</v>
      </c>
      <c r="I6" s="18">
        <f>H6*(1+I5)</f>
        <v>4714623322.123364</v>
      </c>
      <c r="J6" s="18">
        <f>I6*(1+J5)</f>
        <v>4853160895.735125</v>
      </c>
      <c r="K6" s="18">
        <f>J6*(1+K5)</f>
        <v>4974489918.128502</v>
      </c>
    </row>
    <row r="7" spans="1:11" x14ac:dyDescent="0.25">
      <c r="A7" t="s">
        <v>4</v>
      </c>
      <c r="B7" s="9">
        <f>Assumptions!B7</f>
        <v>0.22862700561275198</v>
      </c>
      <c r="C7" s="9">
        <f>Assumptions!B7</f>
        <v>0.22862700561275198</v>
      </c>
      <c r="D7" s="9">
        <f>Assumptions!B7</f>
        <v>0.22862700561275198</v>
      </c>
      <c r="E7" s="9">
        <f>Assumptions!B7</f>
        <v>0.22862700561275198</v>
      </c>
      <c r="F7" s="9">
        <f>Assumptions!B7</f>
        <v>0.22862700561275198</v>
      </c>
      <c r="G7" s="9">
        <f>Assumptions!B7</f>
        <v>0.22862700561275198</v>
      </c>
      <c r="H7" s="9">
        <f>Assumptions!B7</f>
        <v>0.22862700561275198</v>
      </c>
      <c r="I7" s="9">
        <f>Assumptions!B7</f>
        <v>0.22862700561275198</v>
      </c>
      <c r="J7" s="9">
        <f>Assumptions!B7</f>
        <v>0.22862700561275198</v>
      </c>
      <c r="K7" s="9">
        <f>Assumptions!B7</f>
        <v>0.22862700561275198</v>
      </c>
    </row>
    <row r="8" spans="1:11" x14ac:dyDescent="0.25">
      <c r="A8" t="s">
        <v>51</v>
      </c>
      <c r="B8" s="18">
        <f>B6*B7</f>
        <v>782126888.7189848</v>
      </c>
      <c r="C8" s="18">
        <f>C6*C7</f>
        <v>829114905.3427323</v>
      </c>
      <c r="D8" s="18">
        <f>D6*D7</f>
        <v>875290450.0955403</v>
      </c>
      <c r="E8" s="18">
        <f>E6*E7</f>
        <v>920199784.3727044</v>
      </c>
      <c r="F8" s="18">
        <f>F6*F7</f>
        <v>963378565.8945262</v>
      </c>
      <c r="G8" s="18">
        <f>G6*G7</f>
        <v>1004359355.5872633</v>
      </c>
      <c r="H8" s="18">
        <f>H6*H7</f>
        <v>1042679643.348534</v>
      </c>
      <c r="I8" s="18">
        <f>I6*I7</f>
        <v>1077890212.7291098</v>
      </c>
      <c r="J8" s="18">
        <f>J6*J7</f>
        <v>1109563643.3488228</v>
      </c>
      <c r="K8" s="18">
        <f>K6*K7</f>
        <v>1137302734.432543</v>
      </c>
    </row>
    <row r="9" spans="1:11" x14ac:dyDescent="0.25">
      <c r="A9" t="s">
        <v>52</v>
      </c>
      <c r="B9" s="18">
        <f>B8*(1-Assumptions!B8)</f>
        <v>641806028.7394919</v>
      </c>
      <c r="C9" s="18">
        <f>C8*(1-Assumptions!B8)</f>
        <v>680363956.8488629</v>
      </c>
      <c r="D9" s="18">
        <f>D8*(1-Assumptions!B8)</f>
        <v>718255178.1201602</v>
      </c>
      <c r="E9" s="18">
        <f>E8*(1-Assumptions!B8)</f>
        <v>755107358.8871062</v>
      </c>
      <c r="F9" s="18">
        <f>F8*(1-Assumptions!B8)</f>
        <v>790539464.2066404</v>
      </c>
      <c r="G9" s="18">
        <f>G8*(1-Assumptions!B8)</f>
        <v>824167917.9353983</v>
      </c>
      <c r="H9" s="18">
        <f>H8*(1-Assumptions!B8)</f>
        <v>855613188.5979344</v>
      </c>
      <c r="I9" s="18">
        <f>I8*(1-Assumptions!B8)</f>
        <v>884506653.3665689</v>
      </c>
      <c r="J9" s="18">
        <f>J8*(1-Assumptions!B8)</f>
        <v>910497575.0645669</v>
      </c>
      <c r="K9" s="18">
        <f>K8*(1-Assumptions!B8)</f>
        <v>933260014.4411807</v>
      </c>
    </row>
    <row r="10" spans="1:11" x14ac:dyDescent="0.25">
      <c r="A10" t="s">
        <v>53</v>
      </c>
      <c r="B10" s="18">
        <f>B6*Assumptions!B9</f>
        <v>169157511.12247932</v>
      </c>
      <c r="C10" s="18">
        <f>C6*Assumptions!B9</f>
        <v>179320025.74676636</v>
      </c>
      <c r="D10" s="18">
        <f>D6*Assumptions!B9</f>
        <v>189306819.88179845</v>
      </c>
      <c r="E10" s="18">
        <f>E6*Assumptions!B9</f>
        <v>199019759.45984432</v>
      </c>
      <c r="F10" s="18">
        <f>F6*Assumptions!B9</f>
        <v>208358417.06244338</v>
      </c>
      <c r="G10" s="18">
        <f>G6*Assumptions!B9</f>
        <v>217221695.50005236</v>
      </c>
      <c r="H10" s="18">
        <f>H6*Assumptions!B9</f>
        <v>225509563.61543018</v>
      </c>
      <c r="I10" s="18">
        <f>I6*Assumptions!B9</f>
        <v>233124865.38747245</v>
      </c>
      <c r="J10" s="18">
        <f>J6*Assumptions!B9</f>
        <v>239975158.82402274</v>
      </c>
      <c r="K10" s="18">
        <f>K6*Assumptions!B9</f>
        <v>245974537.7946233</v>
      </c>
    </row>
    <row r="11" spans="1:11" x14ac:dyDescent="0.25">
      <c r="A11" t="s">
        <v>54</v>
      </c>
      <c r="B11" s="18">
        <f>-B6*B19</f>
        <v>-380251289.4274005</v>
      </c>
      <c r="C11" s="18">
        <f>-C6*C19</f>
        <v>-388431976.9992555</v>
      </c>
      <c r="D11" s="18">
        <f>-D6*D19</f>
        <v>-394584335.5468898</v>
      </c>
      <c r="E11" s="18">
        <f>-E6*E19</f>
        <v>-398554951.0032914</v>
      </c>
      <c r="F11" s="18">
        <f>-F6*F19</f>
        <v>-400218103.5475114</v>
      </c>
      <c r="G11" s="18">
        <f>-G6*G19</f>
        <v>-399479691.11976296</v>
      </c>
      <c r="H11" s="18">
        <f>-H6*H19</f>
        <v>-396280553.5417913</v>
      </c>
      <c r="I11" s="18">
        <f>-I6*I19</f>
        <v>-390599067.78775376</v>
      </c>
      <c r="J11" s="18">
        <f>-J6*J19</f>
        <v>-382452903.10194814</v>
      </c>
      <c r="K11" s="18">
        <f>-K6*K19</f>
        <v>-371899848.07845134</v>
      </c>
    </row>
    <row r="12" spans="1:11" x14ac:dyDescent="0.25">
      <c r="A12" t="s">
        <v>55</v>
      </c>
      <c r="B12" s="18">
        <f>-(B6-Assumptions!B29)*Assumptions!B11</f>
        <v>-83872591.42343552</v>
      </c>
      <c r="C12" s="18">
        <f>-(C6-B6)*Assumptions!B11</f>
        <v>-49694547.16533615</v>
      </c>
      <c r="D12" s="18">
        <f>-(D6-C6)*Assumptions!B11</f>
        <v>-48835276.5552524</v>
      </c>
      <c r="E12" s="18">
        <f>-(E6-D6)*Assumptions!B11</f>
        <v>-47496131.79613251</v>
      </c>
      <c r="F12" s="18">
        <f>-(F6-E6)*Assumptions!B11</f>
        <v>-45665898.43661272</v>
      </c>
      <c r="G12" s="18">
        <f>-(G6-F6)*Assumptions!B11</f>
        <v>-43341301.30594191</v>
      </c>
      <c r="H12" s="18">
        <f>-(H6-G6)*Assumptions!B11</f>
        <v>-40527553.286411494</v>
      </c>
      <c r="I12" s="18">
        <f>-(I6-H6)*Assumptions!B11</f>
        <v>-37238713.751476824</v>
      </c>
      <c r="J12" s="18">
        <f>-(J6-I6)*Assumptions!B11</f>
        <v>-33497834.233416796</v>
      </c>
      <c r="K12" s="18">
        <f>-(K6-J6)*Assumptions!B11</f>
        <v>-29336874.999887116</v>
      </c>
    </row>
    <row r="13" spans="1:11" x14ac:dyDescent="0.25">
      <c r="A13" s="19" t="s">
        <v>56</v>
      </c>
      <c r="B13" s="20">
        <f>B9+B10+B11+B12</f>
        <v>346839659.0111352</v>
      </c>
      <c r="C13" s="20">
        <f>C9+C10+C11+C12</f>
        <v>421557458.4310376</v>
      </c>
      <c r="D13" s="20">
        <f>D9+D10+D11+D12</f>
        <v>464142385.8998164</v>
      </c>
      <c r="E13" s="20">
        <f>E9+E10+E11+E12</f>
        <v>508076035.54752666</v>
      </c>
      <c r="F13" s="20">
        <f>F9+F10+F11+F12</f>
        <v>553013879.2849597</v>
      </c>
      <c r="G13" s="20">
        <f>G9+G10+G11+G12</f>
        <v>598568621.0097457</v>
      </c>
      <c r="H13" s="20">
        <f>H9+H10+H11+H12</f>
        <v>644314645.3851618</v>
      </c>
      <c r="I13" s="20">
        <f>I9+I10+I11+I12</f>
        <v>689793737.2148108</v>
      </c>
      <c r="J13" s="20">
        <f>J9+J10+J11+J12</f>
        <v>734521996.5532247</v>
      </c>
      <c r="K13" s="20">
        <f>K9+K10+K11+K12</f>
        <v>777997829.1574656</v>
      </c>
    </row>
    <row r="14" spans="1:11" x14ac:dyDescent="0.25">
      <c r="A14" t="s">
        <v>57</v>
      </c>
      <c r="B14" s="21">
        <f>1/(1+Assumptions!$B$26)^(1-0.5*Assumptions!$B$32)</f>
        <v>0.9559795092741625</v>
      </c>
      <c r="C14" s="21">
        <f>1/(1+Assumptions!$B$26)^(2-0.5*Assumptions!$B$32)</f>
        <v>0.8736666355681513</v>
      </c>
      <c r="D14" s="21">
        <f>1/(1+Assumptions!$B$26)^(3-0.5*Assumptions!$B$32)</f>
        <v>0.7984411618660229</v>
      </c>
      <c r="E14" s="21">
        <f>1/(1+Assumptions!$B$26)^(4-0.5*Assumptions!$B$32)</f>
        <v>0.7296928405047638</v>
      </c>
      <c r="F14" s="21">
        <f>1/(1+Assumptions!$B$26)^(5-0.5*Assumptions!$B$32)</f>
        <v>0.6668639680844201</v>
      </c>
      <c r="G14" s="21">
        <f>1/(1+Assumptions!$B$26)^(6-0.5*Assumptions!$B$32)</f>
        <v>0.6094448612400699</v>
      </c>
      <c r="H14" s="21">
        <f>1/(1+Assumptions!$B$26)^(7-0.5*Assumptions!$B$32)</f>
        <v>0.5569697219642085</v>
      </c>
      <c r="I14" s="21">
        <f>1/(1+Assumptions!$B$26)^(8-0.5*Assumptions!$B$32)</f>
        <v>0.5090128589380113</v>
      </c>
      <c r="J14" s="21">
        <f>1/(1+Assumptions!$B$26)^(9-0.5*Assumptions!$B$32)</f>
        <v>0.46518523421798774</v>
      </c>
      <c r="K14" s="21">
        <f>1/(1+Assumptions!$B$26)^(10-0.5*Assumptions!$B$32)</f>
        <v>0.4251313072638848</v>
      </c>
    </row>
    <row r="15" spans="1:11" x14ac:dyDescent="0.25">
      <c r="A15" s="19" t="s">
        <v>58</v>
      </c>
      <c r="B15" s="20">
        <f>B13*B14</f>
        <v>331571607.0182829</v>
      </c>
      <c r="C15" s="20">
        <f>C13*C14</f>
        <v>368300686.4061054</v>
      </c>
      <c r="D15" s="20">
        <f>D13*D14</f>
        <v>370590385.8691174</v>
      </c>
      <c r="E15" s="20">
        <f>E13*E14</f>
        <v>370739445.57107407</v>
      </c>
      <c r="F15" s="20">
        <f>F13*F14</f>
        <v>368785029.9457267</v>
      </c>
      <c r="G15" s="20">
        <f>G13*G14</f>
        <v>364794570.1739445</v>
      </c>
      <c r="H15" s="20">
        <f>H13*H14</f>
        <v>358863748.8976411</v>
      </c>
      <c r="I15" s="20">
        <f>I13*I14</f>
        <v>351113882.25724614</v>
      </c>
      <c r="J15" s="20">
        <f>J13*J14</f>
        <v>341688787.00487584</v>
      </c>
      <c r="K15" s="20">
        <f>K13*K14</f>
        <v>330751234.15817785</v>
      </c>
    </row>
    <row r="17" spans="1:2" x14ac:dyDescent="0.25">
      <c r="A17" s="22" t="s">
        <v>59</v>
      </c>
      <c r="B17" s="23">
        <f>SUM(B15:K15)</f>
        <v>3557199377.3021917</v>
      </c>
    </row>
    <row r="19" spans="1:11" x14ac:dyDescent="0.25">
      <c r="A19" t="s">
        <v>7</v>
      </c>
      <c r="B19" s="9">
        <f>Assumptions!$B$10+($B$20-Assumptions!$B$10)*0/9</f>
        <v>0.11115295348631102</v>
      </c>
      <c r="C19" s="9">
        <f>Assumptions!$B$10+($B$20-Assumptions!$B$10)*1/9</f>
        <v>0.10710944793456736</v>
      </c>
      <c r="D19" s="9">
        <f>Assumptions!$B$10+($B$20-Assumptions!$B$10)*2/9</f>
        <v>0.1030659423828237</v>
      </c>
      <c r="E19" s="9">
        <f>Assumptions!$B$10+($B$20-Assumptions!$B$10)*3/9</f>
        <v>0.09902243683108004</v>
      </c>
      <c r="F19" s="9">
        <f>Assumptions!$B$10+($B$20-Assumptions!$B$10)*4/9</f>
        <v>0.09497893127933638</v>
      </c>
      <c r="G19" s="9">
        <f>Assumptions!$B$10+($B$20-Assumptions!$B$10)*5/9</f>
        <v>0.09093542572759272</v>
      </c>
      <c r="H19" s="9">
        <f>Assumptions!$B$10+($B$20-Assumptions!$B$10)*6/9</f>
        <v>0.08689192017584907</v>
      </c>
      <c r="I19" s="9">
        <f>Assumptions!$B$10+($B$20-Assumptions!$B$10)*7/9</f>
        <v>0.0828484146241054</v>
      </c>
      <c r="J19" s="9">
        <f>Assumptions!$B$10+($B$20-Assumptions!$B$10)*8/9</f>
        <v>0.07880490907236173</v>
      </c>
      <c r="K19" s="9">
        <f>Assumptions!$B$10+($B$20-Assumptions!$B$10)*9/9</f>
        <v>0.07476140352061808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0.07476140352061808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777997829.1574656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938012716.4614012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0.1404214612748593</v>
      </c>
    </row>
    <row r="7" spans="1:2" x14ac:dyDescent="0.25">
      <c r="A7" t="s">
        <v>66</v>
      </c>
      <c r="B7" s="18">
        <f>-MAX(B5,0)*B6</f>
        <v>-131717116.33991022</v>
      </c>
    </row>
    <row r="8" spans="1:2" x14ac:dyDescent="0.25">
      <c r="A8" t="s">
        <v>67</v>
      </c>
      <c r="B8" s="18">
        <f>IF(OR(Assumptions!$B$33=0,Assumptions!B12&lt;=0),B5,MAX(B5+B7,0))</f>
        <v>806295600.121491</v>
      </c>
    </row>
    <row r="9" spans="1:2" x14ac:dyDescent="0.25">
      <c r="A9" t="s">
        <v>68</v>
      </c>
      <c r="B9" s="18">
        <f>B8*(1+Assumptions!B12)/(Assumptions!B26-Assumptions!B12)</f>
        <v>11940300672.093536</v>
      </c>
    </row>
    <row r="10" spans="1:2" x14ac:dyDescent="0.25">
      <c r="A10" t="s">
        <v>69</v>
      </c>
      <c r="B10" s="18">
        <f>B9/(1+Assumptions!B26)^(10-0.5*Assumptions!B32)</f>
        <v>5076195633.850967</v>
      </c>
    </row>
    <row r="11" spans="1:2" x14ac:dyDescent="0.25">
      <c r="A11" t="s">
        <v>70</v>
      </c>
      <c r="B11" s="18">
        <f>Forecast!B17+B10</f>
        <v>8633395011.15316</v>
      </c>
    </row>
    <row r="12" spans="1:2" x14ac:dyDescent="0.25">
      <c r="A12" t="s">
        <v>71</v>
      </c>
      <c r="B12" s="18">
        <f>-Assumptions!B30</f>
        <v>470200000</v>
      </c>
    </row>
    <row r="13" spans="1:2" x14ac:dyDescent="0.25">
      <c r="A13" t="s">
        <v>72</v>
      </c>
      <c r="B13" s="18">
        <f>B11+B12</f>
        <v>9103595011.15316</v>
      </c>
    </row>
    <row r="14" spans="1:2" x14ac:dyDescent="0.25">
      <c r="A14" s="19" t="s">
        <v>73</v>
      </c>
      <c r="B14" s="24">
        <f>B13/Assumptions!B31</f>
        <v>125.2213894243901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1383277272.2271664</v>
      </c>
    </row>
    <row r="18" spans="1:2" x14ac:dyDescent="0.25">
      <c r="A18" t="s">
        <v>68</v>
      </c>
      <c r="B18" s="18">
        <f>B17*Assumptions!B13</f>
        <v>27665545444.543327</v>
      </c>
    </row>
    <row r="19" spans="1:2" x14ac:dyDescent="0.25">
      <c r="A19" t="s">
        <v>69</v>
      </c>
      <c r="B19" s="18">
        <f>B18/(1+Assumptions!B26)^(10-0.5*Assumptions!B32)</f>
        <v>11761489501.007118</v>
      </c>
    </row>
    <row r="20" spans="1:2" x14ac:dyDescent="0.25">
      <c r="A20" t="s">
        <v>70</v>
      </c>
      <c r="B20" s="18">
        <f>Forecast!B17+B19</f>
        <v>15318688878.30931</v>
      </c>
    </row>
    <row r="21" spans="1:2" x14ac:dyDescent="0.25">
      <c r="A21" t="s">
        <v>71</v>
      </c>
      <c r="B21" s="18">
        <f>-Assumptions!B30</f>
        <v>470200000</v>
      </c>
    </row>
    <row r="22" spans="1:2" x14ac:dyDescent="0.25">
      <c r="A22" t="s">
        <v>72</v>
      </c>
      <c r="B22" s="18">
        <f>B20+B21</f>
        <v>15788888878.30931</v>
      </c>
    </row>
    <row r="23" spans="1:2" x14ac:dyDescent="0.25">
      <c r="A23" s="19" t="s">
        <v>73</v>
      </c>
      <c r="B23" s="25">
        <f>B22/Assumptions!B31</f>
        <v>217.17866407578146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412.62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125.2213894243901</v>
      </c>
    </row>
    <row r="29" spans="1:2" x14ac:dyDescent="0.25">
      <c r="A29" s="19" t="s">
        <v>81</v>
      </c>
      <c r="B29" s="11">
        <f>B28/B26-1</f>
        <v>-0.6965212800533418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0.074215</v>
      </c>
      <c r="B5" s="31">
        <v>164.7908912474669</v>
      </c>
      <c r="C5" s="31">
        <v>170.32835193693458</v>
      </c>
      <c r="D5" s="31">
        <v>177.1614896972619</v>
      </c>
      <c r="E5" s="31">
        <v>185.72986476960918</v>
      </c>
      <c r="F5" s="31">
        <v>196.697217041272</v>
      </c>
    </row>
    <row r="6" spans="1:6" x14ac:dyDescent="0.25">
      <c r="A6" s="30">
        <v>0.084215</v>
      </c>
      <c r="B6" s="31">
        <v>139.9897154756122</v>
      </c>
      <c r="C6" s="31">
        <v>143.04299675276644</v>
      </c>
      <c r="D6" s="31">
        <v>146.74593774057297</v>
      </c>
      <c r="E6" s="31">
        <v>151.27828381687533</v>
      </c>
      <c r="F6" s="31">
        <v>156.89282531647865</v>
      </c>
    </row>
    <row r="7" spans="1:6" x14ac:dyDescent="0.25">
      <c r="A7" s="30">
        <v>0.094215</v>
      </c>
      <c r="B7" s="31">
        <v>121.57076167677613</v>
      </c>
      <c r="C7" s="31">
        <v>123.22285170182754</v>
      </c>
      <c r="D7" s="32">
        <v>125.2221706341758</v>
      </c>
      <c r="E7" s="31">
        <v>127.6498277724187</v>
      </c>
      <c r="F7" s="31">
        <v>130.61432726395833</v>
      </c>
    </row>
    <row r="8" spans="1:6" x14ac:dyDescent="0.25">
      <c r="A8" s="30">
        <v>0.104215</v>
      </c>
      <c r="B8" s="31">
        <v>107.37955362983946</v>
      </c>
      <c r="C8" s="31">
        <v>108.2008207302902</v>
      </c>
      <c r="D8" s="31">
        <v>109.2156069367319</v>
      </c>
      <c r="E8" s="31">
        <v>110.46302545525322</v>
      </c>
      <c r="F8" s="31">
        <v>111.99349143692243</v>
      </c>
    </row>
    <row r="9" spans="1:6" x14ac:dyDescent="0.25">
      <c r="A9" s="30">
        <v>0.114215</v>
      </c>
      <c r="B9" s="31">
        <v>96.13089824635284</v>
      </c>
      <c r="C9" s="31">
        <v>96.44277803370504</v>
      </c>
      <c r="D9" s="31">
        <v>96.86525039853386</v>
      </c>
      <c r="E9" s="31">
        <v>97.41801359723249</v>
      </c>
      <c r="F9" s="31">
        <v>98.12573925143877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3074100000</v>
      </c>
      <c r="C5" s="18">
        <v>2893200000</v>
      </c>
      <c r="D5" s="18">
        <v>2949800000</v>
      </c>
      <c r="E5" s="18">
        <v>2886900000</v>
      </c>
      <c r="F5" s="6" t="s">
        <v>91</v>
      </c>
    </row>
    <row r="6" spans="1:6" x14ac:dyDescent="0.25">
      <c r="A6" t="s">
        <v>51</v>
      </c>
      <c r="B6" s="18">
        <v>636100000</v>
      </c>
      <c r="C6" s="18">
        <v>590900000</v>
      </c>
      <c r="D6" s="18">
        <v>707400000</v>
      </c>
      <c r="E6" s="18">
        <v>760800000</v>
      </c>
      <c r="F6" s="6" t="s">
        <v>92</v>
      </c>
    </row>
    <row r="7" spans="1:6" x14ac:dyDescent="0.25">
      <c r="A7" t="s">
        <v>93</v>
      </c>
      <c r="B7" s="18">
        <v>171400000</v>
      </c>
      <c r="C7" s="18">
        <v>155400000</v>
      </c>
      <c r="D7" s="18">
        <v>137300000</v>
      </c>
      <c r="E7" s="18">
        <v>120600000</v>
      </c>
      <c r="F7" s="6" t="s">
        <v>94</v>
      </c>
    </row>
    <row r="8" spans="1:6" x14ac:dyDescent="0.25">
      <c r="A8" t="s">
        <v>95</v>
      </c>
      <c r="B8" s="18">
        <v>285900000</v>
      </c>
      <c r="C8" s="18">
        <v>377000000</v>
      </c>
      <c r="D8" s="18">
        <v>362000000</v>
      </c>
      <c r="E8" s="18">
        <v>284600000</v>
      </c>
      <c r="F8" s="6" t="s">
        <v>96</v>
      </c>
    </row>
    <row r="9" spans="1:6" x14ac:dyDescent="0.25">
      <c r="A9" t="s">
        <v>97</v>
      </c>
      <c r="B9" s="18">
        <v>-79800000</v>
      </c>
      <c r="C9" s="18">
        <v>-2900000</v>
      </c>
      <c r="D9" s="18">
        <v>20400000</v>
      </c>
      <c r="E9" s="18">
        <v>15000000</v>
      </c>
      <c r="F9" s="6" t="s">
        <v>98</v>
      </c>
    </row>
    <row r="10" spans="1:6" x14ac:dyDescent="0.25">
      <c r="A10" t="s">
        <v>99</v>
      </c>
      <c r="B10" s="18">
        <v>321100000</v>
      </c>
      <c r="C10" s="18">
        <v>302300000</v>
      </c>
      <c r="D10" s="18">
        <v>309000000</v>
      </c>
      <c r="E10" s="18">
        <v>317900000</v>
      </c>
      <c r="F10" s="6" t="s">
        <v>100</v>
      </c>
    </row>
    <row r="11" spans="1:6" x14ac:dyDescent="0.25">
      <c r="A11" t="s">
        <v>101</v>
      </c>
      <c r="B11" s="18">
        <v>791300000</v>
      </c>
      <c r="C11" s="18">
        <v>484600000</v>
      </c>
      <c r="D11" s="18">
        <v>853900000</v>
      </c>
      <c r="E11" s="18">
        <v>894300000</v>
      </c>
      <c r="F11" s="6" t="s">
        <v>102</v>
      </c>
    </row>
    <row r="12" spans="1:6" x14ac:dyDescent="0.25">
      <c r="A12" t="s">
        <v>34</v>
      </c>
      <c r="B12" s="34">
        <v>72700000</v>
      </c>
      <c r="C12" s="34">
        <v>73700000</v>
      </c>
      <c r="D12" s="34">
        <v>75300000</v>
      </c>
      <c r="E12" s="34">
        <v>75800000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