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<sst xmlns="http://schemas.openxmlformats.org/spreadsheetml/2006/main" count="115" uniqueCount="103">
  <si>
    <t>WiseTech Global Limited (WTC.AX)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</si>
  <si>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</si>
  <si>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</si>
  <si>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</si>
  <si>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</si>
  <si>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</si>
  <si>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</si>
  <si>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</si>
  <si>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</si>
  <si>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</si>
  <si>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</si>
  <si>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</si>
  <si>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</si>
  <si>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</si>
  <si>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</si>
  <si>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</si>
  <si>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Australian Government 10-year (RBA F2)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</si>
  <si>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</si>
  <si>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</si>
  <si>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</si>
  <si>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</si>
  <si>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</si>
  <si>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</si>
  <si>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</si>
  <si>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</si>
  <si>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</si>
  <si>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</si>
  <si>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</si>
  <si>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</si>
  <si>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</si>
  <si>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2024-06-30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</si>
  <si>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</si>
  <si>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</si>
  <si>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</si>
  <si>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</si>
  <si>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</si>
  <si>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</si>
  <si>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</si>
  <si>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FY25</t>
  </si>
  <si>
    <t>FY26</t>
  </si>
  <si>
    <t>FY27</t>
  </si>
  <si>
    <t>FY28</t>
  </si>
  <si>
    <t>FY29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</si>
  <si>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</si>
  <si>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</si>
  <si>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</si>
  <si>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</si>
  <si>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</si>
  <si>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</si>
  <si>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</si>
  <si>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</si>
  <si>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</si>
  <si>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</si>
  <si>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</si>
  <si>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</si>
  <si>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</si>
  <si>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</si>
  <si>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</si>
  <si>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</si>
  <si>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</si>
  <si>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</si>
  <si>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</si>
  <si>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</si>
  <si>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</si>
  <si>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</si>
  <si>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</si>
  <si>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</si>
  <si>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</si>
  <si>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</si>
  <si>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(AUD)</t>
  </si>
  <si>
    <t>Conversion, USD to AUD</t>
  </si>
  <si>
    <t>USD/AUD at 1.4042</t>
  </si>
  <si>
    <t>Value per share (AUD)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</si>
  <si>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</si>
  <si>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</si>
  <si>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</si>
  <si>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</si>
  <si>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</si>
  <si>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</si>
  <si>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2024-06-30</t>
  </si>
  <si>
    <t>2023-06-30</t>
  </si>
  <si>
    <t>2022-06-30</t>
  </si>
  <si>
    <t>Yahoo field, latest year</t>
  </si>
  <si>
    <t>totalRevenue</t>
  </si>
  <si>
    <t>operatingIncome</t>
  </si>
  <si>
    <t>Depreciation &amp; amortisation</t>
  </si>
  <si>
    <t>reconciledDepreciation</t>
  </si>
  <si>
    <t>Capital expenditure</t>
  </si>
  <si>
    <t>capitalExpenditure</t>
  </si>
  <si>
    <t>Change in working capital</t>
  </si>
  <si>
    <t>derived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</si>
  <si>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</si>
  <si>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</si>
  <si>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</si>
  <si>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</si>
  <si>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</si>
  <si>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</si>
  <si>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Some line items were not reported and have been derived. Each one is labelled in the workings below.</t>
  </si>
  <si>
    <t>Adjusted: Only 3 year(s) of history available to anchor assumptions on.</t>
  </si>
  <si>
    <t>Adjusted: Reports in USD, trades in AUD. Modelled in USD, converted at the end.</t>
  </si>
  <si>
    <t>Adjusted: Capital expenditure runs at 17.5% of revenue against depreciation of 5.9%. A perpetuity has to be a steady state, so the terminal year uses maintenance capex at depreciation and then charges the reinvestment terminal growth requires (g/ROIC of NOPAT). The bridge is shown under Terminal Value.</t>
  </si>
  <si>
    <t>Current EV/EBITDA of 42.3x sits outside a defensible 3-20x band, so the exit multiple is capped at 20.0x. A multiple that far out usually means EBITDA is the wrong denominator for this business.</t>
  </si>
  <si>
    <t>Data: Yahoo Finance. Risk-free rate: Australian Government 10-year (RBA F2).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</si>
</sst>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0.26520933033080984</v>
      </c>
    </row>
    <row r="7" spans="1:2" x14ac:dyDescent="0.25">
      <c r="A7" t="s">
        <v>5</v>
      </c>
      <c r="B7" s="6">
        <v>0.3319753636085019</v>
      </c>
    </row>
    <row r="8" spans="1:2" x14ac:dyDescent="0.25">
      <c r="A8" t="s">
        <v>6</v>
      </c>
      <c r="B8" s="6">
        <v>0.28333787837469215</v>
      </c>
    </row>
    <row r="9" spans="1:2" x14ac:dyDescent="0.25">
      <c r="A9" t="s">
        <v>7</v>
      </c>
      <c r="B9" s="6">
        <v>0.058559475191971015</v>
      </c>
    </row>
    <row r="10" spans="1:2" x14ac:dyDescent="0.25">
      <c r="A10" t="s">
        <v>8</v>
      </c>
      <c r="B10" s="6">
        <v>0.17516917437090607</v>
      </c>
    </row>
    <row r="11" spans="1:2" x14ac:dyDescent="0.25">
      <c r="A11" t="s">
        <v>9</v>
      </c>
      <c r="B11" s="6">
        <v>0.13302736732806042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0.11739048992555913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0.05348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1.07102</v>
      </c>
      <c r="C19" s="8" t="s">
        <v>19</v>
      </c>
    </row>
    <row r="20" spans="1:2" x14ac:dyDescent="0.25">
      <c r="A20" t="s">
        <v>20</v>
      </c>
      <c r="B20" s="10">
        <f>B17+B19*B18</f>
        <v>0.1177412</v>
      </c>
    </row>
    <row r="21" spans="1:3" x14ac:dyDescent="0.25">
      <c r="A21" t="s">
        <v>21</v>
      </c>
      <c r="B21" s="6">
        <v>0.08818964689639305</v>
      </c>
      <c r="C21" s="8" t="s">
        <v>22</v>
      </c>
    </row>
    <row r="22" spans="1:2" x14ac:dyDescent="0.25">
      <c r="A22" t="s">
        <v>23</v>
      </c>
      <c r="B22" s="11">
        <v>10781876224</v>
      </c>
    </row>
    <row r="23" spans="1:2" x14ac:dyDescent="0.25">
      <c r="A23" t="s">
        <v>24</v>
      </c>
      <c r="B23" s="11">
        <v>69780965.303353</v>
      </c>
    </row>
    <row r="24" spans="1:2" x14ac:dyDescent="0.25">
      <c r="A24" t="s">
        <v>25</v>
      </c>
      <c r="B24" s="10">
        <f>B22/(B22+B23)</f>
        <v>0.9935695567887883</v>
      </c>
    </row>
    <row r="25" spans="1:2" x14ac:dyDescent="0.25">
      <c r="A25" t="s">
        <v>26</v>
      </c>
      <c r="B25" s="10">
        <f>1-B24</f>
        <v>0.006430443211211667</v>
      </c>
    </row>
    <row r="26" spans="1:2" x14ac:dyDescent="0.25">
      <c r="A26" t="s">
        <v>27</v>
      </c>
      <c r="B26" s="12">
        <f>B24*B20+B25*B21*(1-B8)</f>
        <v>0.11739048992555913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696272332.916697</v>
      </c>
      <c r="C29" s="8" t="s">
        <v>30</v>
      </c>
    </row>
    <row r="30" spans="1:2" x14ac:dyDescent="0.25">
      <c r="A30" t="s">
        <v>31</v>
      </c>
      <c r="B30" s="11">
        <v>-11563320.878812999</v>
      </c>
    </row>
    <row r="31" spans="1:2" x14ac:dyDescent="0.25">
      <c r="A31" t="s">
        <v>32</v>
      </c>
      <c r="B31" s="13">
        <v>333079848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0.26520933033080984</v>
      </c>
      <c r="C5" s="10">
        <f>Assumptions!B6</f>
        <v>0.26520933033080984</v>
      </c>
      <c r="D5" s="10">
        <f>Assumptions!B6</f>
        <v>0.26520933033080984</v>
      </c>
      <c r="E5" s="10">
        <f>Assumptions!B6</f>
        <v>0.26520933033080984</v>
      </c>
      <c r="F5" s="10">
        <f>Assumptions!B6</f>
        <v>0.26520933033080984</v>
      </c>
    </row>
    <row r="6" spans="1:6" x14ac:dyDescent="0.25">
      <c r="A6" t="s">
        <v>43</v>
      </c>
      <c r="B6" s="18">
        <f>Assumptions!B29*(1+B5)</f>
        <v>880930252.0574049</v>
      </c>
      <c r="C6" s="18">
        <f>B6*(1+C5)</f>
        <v>1114561174.2737007</v>
      </c>
      <c r="D6" s="18">
        <f>C6*(1+D5)</f>
        <v>1410153196.91555</v>
      </c>
      <c r="E6" s="18">
        <f>D6*(1+E5)</f>
        <v>1784138981.9333737</v>
      </c>
      <c r="F6" s="18">
        <f>E6*(1+F5)</f>
        <v>2257309286.5490165</v>
      </c>
    </row>
    <row r="7" spans="1:6" x14ac:dyDescent="0.25">
      <c r="A7" t="s">
        <v>5</v>
      </c>
      <c r="B7" s="10">
        <f>Assumptions!B7</f>
        <v>0.3319753636085019</v>
      </c>
      <c r="C7" s="10">
        <f>Assumptions!B7</f>
        <v>0.3319753636085019</v>
      </c>
      <c r="D7" s="10">
        <f>Assumptions!B7</f>
        <v>0.3319753636085019</v>
      </c>
      <c r="E7" s="10">
        <f>Assumptions!B7</f>
        <v>0.3319753636085019</v>
      </c>
      <c r="F7" s="10">
        <f>Assumptions!B7</f>
        <v>0.3319753636085019</v>
      </c>
    </row>
    <row r="8" spans="1:6" x14ac:dyDescent="0.25">
      <c r="A8" t="s">
        <v>44</v>
      </c>
      <c r="B8" s="18">
        <f>B6*B7</f>
        <v>292447140.7404862</v>
      </c>
      <c r="C8" s="18">
        <f>C6*C7</f>
        <v>370006851.09343064</v>
      </c>
      <c r="D8" s="18">
        <f>D6*D7</f>
        <v>468136120.2897311</v>
      </c>
      <c r="E8" s="18">
        <f>E6*E7</f>
        <v>592290187.2554342</v>
      </c>
      <c r="F8" s="18">
        <f>F6*F7</f>
        <v>749371071.1789577</v>
      </c>
    </row>
    <row r="9" spans="1:6" x14ac:dyDescent="0.25">
      <c r="A9" t="s">
        <v>45</v>
      </c>
      <c r="B9" s="18">
        <f>B8*(1-Assumptions!B8)</f>
        <v>209585788.34633183</v>
      </c>
      <c r="C9" s="18">
        <f>C8*(1-Assumptions!B8)</f>
        <v>265169894.92051736</v>
      </c>
      <c r="D9" s="18">
        <f>D8*(1-Assumptions!B8)</f>
        <v>335495425.176279</v>
      </c>
      <c r="E9" s="18">
        <f>E8*(1-Assumptions!B8)</f>
        <v>424471942.2163303</v>
      </c>
      <c r="F9" s="18">
        <f>F8*(1-Assumptions!B8)</f>
        <v>537045861.7557414</v>
      </c>
    </row>
    <row r="10" spans="1:6" x14ac:dyDescent="0.25">
      <c r="A10" t="s">
        <v>46</v>
      </c>
      <c r="B10" s="18">
        <f>B6*Assumptions!B9</f>
        <v>51586813.241212375</v>
      </c>
      <c r="C10" s="18">
        <f>C6*Assumptions!B9</f>
        <v>65268117.43481486</v>
      </c>
      <c r="D10" s="18">
        <f>D6*Assumptions!B9</f>
        <v>82577831.15165477</v>
      </c>
      <c r="E10" s="18">
        <f>E6*Assumptions!B9</f>
        <v>104478242.45155582</v>
      </c>
      <c r="F10" s="18">
        <f>F6*Assumptions!B9</f>
        <v>132186847.16627292</v>
      </c>
    </row>
    <row r="11" spans="1:6" x14ac:dyDescent="0.25">
      <c r="A11" t="s">
        <v>47</v>
      </c>
      <c r="B11" s="18">
        <f>-B6*Assumptions!B10</f>
        <v>-154311824.9312498</v>
      </c>
      <c r="C11" s="18">
        <f>-C6*Assumptions!B10</f>
        <v>-195236760.68339172</v>
      </c>
      <c r="D11" s="18">
        <f>-D6*Assumptions!B10</f>
        <v>-247015371.24019063</v>
      </c>
      <c r="E11" s="18">
        <f>-E6*Assumptions!B10</f>
        <v>-312526152.42821795</v>
      </c>
      <c r="F11" s="18">
        <f>-F6*Assumptions!B10</f>
        <v>-395411004.0245702</v>
      </c>
    </row>
    <row r="12" spans="1:6" x14ac:dyDescent="0.25">
      <c r="A12" t="s">
        <v>48</v>
      </c>
      <c r="B12" s="18">
        <f>-(B6-Assumptions!B29)*Assumptions!B11</f>
        <v>-24564556.839566223</v>
      </c>
      <c r="C12" s="18">
        <f>-(C6-B6)*Assumptions!B11</f>
        <v>-31079306.5088607</v>
      </c>
      <c r="D12" s="18">
        <f>-(D6-C6)*Assumptions!B11</f>
        <v>-39321828.575221635</v>
      </c>
      <c r="E12" s="18">
        <f>-(E6-D6)*Assumptions!B11</f>
        <v>-49750344.39903907</v>
      </c>
      <c r="F12" s="18">
        <f>-(F6-E6)*Assumptions!B11</f>
        <v>-62944599.92083535</v>
      </c>
    </row>
    <row r="13" spans="1:6" x14ac:dyDescent="0.25">
      <c r="A13" s="19" t="s">
        <v>49</v>
      </c>
      <c r="B13" s="20">
        <f>B9+B10+B11+B12</f>
        <v>82296219.81672817</v>
      </c>
      <c r="C13" s="20">
        <f>C9+C10+C11+C12</f>
        <v>104121945.16307977</v>
      </c>
      <c r="D13" s="20">
        <f>D9+D10+D11+D12</f>
        <v>131736056.51252154</v>
      </c>
      <c r="E13" s="20">
        <f>E9+E10+E11+E12</f>
        <v>166673687.84062913</v>
      </c>
      <c r="F13" s="20">
        <f>F9+F10+F11+F12</f>
        <v>210877104.97660866</v>
      </c>
    </row>
    <row r="14" spans="1:6" x14ac:dyDescent="0.25">
      <c r="A14" t="s">
        <v>50</v>
      </c>
      <c r="B14" s="21">
        <f>1/(1+Assumptions!$B$26)^(1-0.5*Assumptions!$B$32)</f>
        <v>0.9460138934123712</v>
      </c>
      <c r="C14" s="21">
        <f>1/(1+Assumptions!$B$26)^(2-0.5*Assumptions!$B$32)</f>
        <v>0.8466278368588898</v>
      </c>
      <c r="D14" s="21">
        <f>1/(1+Assumptions!$B$26)^(3-0.5*Assumptions!$B$32)</f>
        <v>0.7576830521577935</v>
      </c>
      <c r="E14" s="21">
        <f>1/(1+Assumptions!$B$26)^(4-0.5*Assumptions!$B$32)</f>
        <v>0.678082603162544</v>
      </c>
      <c r="F14" s="21">
        <f>1/(1+Assumptions!$B$26)^(5-0.5*Assumptions!$B$32)</f>
        <v>0.6068447953299817</v>
      </c>
    </row>
    <row r="15" spans="1:6" x14ac:dyDescent="0.25">
      <c r="A15" s="19" t="s">
        <v>51</v>
      </c>
      <c r="B15" s="20">
        <f>B13*B14</f>
        <v>77853367.32194336</v>
      </c>
      <c r="C15" s="20">
        <f>C13*C14</f>
        <v>88152537.20295817</v>
      </c>
      <c r="D15" s="20">
        <f>D13*D14</f>
        <v>99814177.37763889</v>
      </c>
      <c r="E15" s="20">
        <f>E13*E14</f>
        <v>113018528.12967506</v>
      </c>
      <c r="F15" s="20">
        <f>F13*F14</f>
        <v>127969673.60930915</v>
      </c>
    </row>
    <row r="17" spans="1:2" x14ac:dyDescent="0.25">
      <c r="A17" s="22" t="s">
        <v>52</v>
      </c>
      <c r="B17" s="23">
        <f>SUM(B15:F15)</f>
        <v>506808283.6415246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210877104.97660866</v>
      </c>
    </row>
    <row r="5" spans="1:2" x14ac:dyDescent="0.25">
      <c r="A5" t="s">
        <v>56</v>
      </c>
      <c r="B5" s="18">
        <f>IF(Assumptions!$B$33=0,B4,B4-Forecast!F11-Forecast!F10-Forecast!F12)</f>
        <v>537045861.7557414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0.21296444044022014</v>
      </c>
    </row>
    <row r="7" spans="1:2" x14ac:dyDescent="0.25">
      <c r="A7" t="s">
        <v>58</v>
      </c>
      <c r="B7" s="18">
        <f>-MAX(Forecast!F9,0)*B6</f>
        <v>-114371671.43954729</v>
      </c>
    </row>
    <row r="8" spans="1:2" x14ac:dyDescent="0.25">
      <c r="A8" t="s">
        <v>59</v>
      </c>
      <c r="B8" s="18">
        <f>IF(OR(Assumptions!$B$33=0,Assumptions!B12&lt;=0),B5,MAX(B5+B7,0))</f>
        <v>422674190.31619406</v>
      </c>
    </row>
    <row r="9" spans="1:2" x14ac:dyDescent="0.25">
      <c r="A9" t="s">
        <v>60</v>
      </c>
      <c r="B9" s="18">
        <f>B8*(1+Assumptions!B12)/(Assumptions!B26-Assumptions!B12)</f>
        <v>4689238529.021439</v>
      </c>
    </row>
    <row r="10" spans="1:2" x14ac:dyDescent="0.25">
      <c r="A10" t="s">
        <v>61</v>
      </c>
      <c r="B10" s="18">
        <f>B9/(1+Assumptions!B26)^(5-0.5*Assumptions!B32)</f>
        <v>2845639995.3974795</v>
      </c>
    </row>
    <row r="11" spans="1:2" x14ac:dyDescent="0.25">
      <c r="A11" t="s">
        <v>62</v>
      </c>
      <c r="B11" s="18">
        <f>Forecast!B17+B10</f>
        <v>3352448279.0390043</v>
      </c>
    </row>
    <row r="12" spans="1:2" x14ac:dyDescent="0.25">
      <c r="A12" t="s">
        <v>63</v>
      </c>
      <c r="B12" s="18">
        <f>-Assumptions!B30</f>
        <v>11563320.87881279</v>
      </c>
    </row>
    <row r="13" spans="1:2" x14ac:dyDescent="0.25">
      <c r="A13" t="s">
        <v>64</v>
      </c>
      <c r="B13" s="18">
        <f>B11+B12</f>
        <v>3364011599.917817</v>
      </c>
    </row>
    <row r="14" spans="1:2" x14ac:dyDescent="0.25">
      <c r="A14" s="19" t="s">
        <v>65</v>
      </c>
      <c r="B14" s="24">
        <f>B13/Assumptions!B31</f>
        <v>10.09971518876704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881557918.3452306</v>
      </c>
    </row>
    <row r="18" spans="1:2" x14ac:dyDescent="0.25">
      <c r="A18" t="s">
        <v>60</v>
      </c>
      <c r="B18" s="18">
        <f>B17*Assumptions!B13</f>
        <v>17631158366.90461</v>
      </c>
    </row>
    <row r="19" spans="1:2" x14ac:dyDescent="0.25">
      <c r="A19" t="s">
        <v>61</v>
      </c>
      <c r="B19" s="18">
        <f>B18/(1+Assumptions!B26)^(5-0.5*Assumptions!B32)</f>
        <v>10699376690.594723</v>
      </c>
    </row>
    <row r="20" spans="1:2" x14ac:dyDescent="0.25">
      <c r="A20" t="s">
        <v>62</v>
      </c>
      <c r="B20" s="18">
        <f>Forecast!B17+B19</f>
        <v>11206184974.236248</v>
      </c>
    </row>
    <row r="21" spans="1:2" x14ac:dyDescent="0.25">
      <c r="A21" t="s">
        <v>63</v>
      </c>
      <c r="B21" s="18">
        <f>-Assumptions!B30</f>
        <v>11563320.87881279</v>
      </c>
    </row>
    <row r="22" spans="1:2" x14ac:dyDescent="0.25">
      <c r="A22" t="s">
        <v>64</v>
      </c>
      <c r="B22" s="18">
        <f>B20+B21</f>
        <v>11217748295.11506</v>
      </c>
    </row>
    <row r="23" spans="1:2" x14ac:dyDescent="0.25">
      <c r="A23" s="19" t="s">
        <v>65</v>
      </c>
      <c r="B23" s="25">
        <f>B22/Assumptions!B31</f>
        <v>33.67885617359553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32.06</v>
      </c>
    </row>
    <row r="27" spans="1:3" x14ac:dyDescent="0.25">
      <c r="A27" t="s">
        <v>70</v>
      </c>
      <c r="B27" s="27">
        <v>1.4042</v>
      </c>
      <c r="C27" s="8" t="s">
        <v>71</v>
      </c>
    </row>
    <row r="28" spans="1:2" x14ac:dyDescent="0.25">
      <c r="A28" t="s">
        <v>72</v>
      </c>
      <c r="B28" s="28">
        <f>B14*B27</f>
        <v>14.182020068066677</v>
      </c>
    </row>
    <row r="29" spans="1:2" x14ac:dyDescent="0.25">
      <c r="A29" s="19" t="s">
        <v>73</v>
      </c>
      <c r="B29" s="12">
        <f>B28/B26-1</f>
        <v>-0.5576412954439589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0.09739</v>
      </c>
      <c r="B5" s="31">
        <v>12.81556321841618</v>
      </c>
      <c r="C5" s="31">
        <v>12.92142677048004</v>
      </c>
      <c r="D5" s="31">
        <v>13.034837771284431</v>
      </c>
      <c r="E5" s="31">
        <v>13.157476169354501</v>
      </c>
      <c r="F5" s="31">
        <v>13.291560444558554</v>
      </c>
    </row>
    <row r="6" spans="1:6" x14ac:dyDescent="0.25">
      <c r="A6" s="30">
        <v>0.10739</v>
      </c>
      <c r="B6" s="31">
        <v>11.22415912405214</v>
      </c>
      <c r="C6" s="31">
        <v>11.271596044817722</v>
      </c>
      <c r="D6" s="31">
        <v>11.319032965583304</v>
      </c>
      <c r="E6" s="31">
        <v>11.366469886348886</v>
      </c>
      <c r="F6" s="31">
        <v>11.413906807114467</v>
      </c>
    </row>
    <row r="7" spans="1:6" x14ac:dyDescent="0.25">
      <c r="A7" s="30">
        <v>0.11739</v>
      </c>
      <c r="B7" s="31">
        <v>10.016418612912283</v>
      </c>
      <c r="C7" s="31">
        <v>10.058094073357715</v>
      </c>
      <c r="D7" s="32">
        <v>10.099769533803148</v>
      </c>
      <c r="E7" s="31">
        <v>10.141444994248584</v>
      </c>
      <c r="F7" s="31">
        <v>10.183120454694016</v>
      </c>
    </row>
    <row r="8" spans="1:6" x14ac:dyDescent="0.25">
      <c r="A8" s="30">
        <v>0.12739</v>
      </c>
      <c r="B8" s="31">
        <v>9.00925197334246</v>
      </c>
      <c r="C8" s="31">
        <v>9.046146664654321</v>
      </c>
      <c r="D8" s="31">
        <v>9.083041355966175</v>
      </c>
      <c r="E8" s="31">
        <v>9.119936047278035</v>
      </c>
      <c r="F8" s="31">
        <v>9.156830738589893</v>
      </c>
    </row>
    <row r="9" spans="1:6" x14ac:dyDescent="0.25">
      <c r="A9" s="30">
        <v>0.13739</v>
      </c>
      <c r="B9" s="31">
        <v>8.158307771096975</v>
      </c>
      <c r="C9" s="31">
        <v>8.191184270758825</v>
      </c>
      <c r="D9" s="31">
        <v>8.224060770420673</v>
      </c>
      <c r="E9" s="31">
        <v>8.256937270082522</v>
      </c>
      <c r="F9" s="31">
        <v>8.28981376974437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4" width="17" customWidth="1"/>
    <col min="5" max="5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5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33" t="s">
        <v>82</v>
      </c>
    </row>
    <row r="5" spans="1:5" x14ac:dyDescent="0.25">
      <c r="A5" t="s">
        <v>43</v>
      </c>
      <c r="B5" s="18">
        <v>696272332.916697</v>
      </c>
      <c r="C5" s="18">
        <v>540731964.017396</v>
      </c>
      <c r="D5" s="18">
        <v>434965054.207253</v>
      </c>
      <c r="E5" s="8" t="s">
        <v>83</v>
      </c>
    </row>
    <row r="6" spans="1:5" x14ac:dyDescent="0.25">
      <c r="A6" t="s">
        <v>44</v>
      </c>
      <c r="B6" s="18">
        <v>229595417.449252</v>
      </c>
      <c r="C6" s="18">
        <v>197652790.372866</v>
      </c>
      <c r="D6" s="18">
        <v>130771559.077651</v>
      </c>
      <c r="E6" s="8" t="s">
        <v>84</v>
      </c>
    </row>
    <row r="7" spans="1:5" x14ac:dyDescent="0.25">
      <c r="A7" t="s">
        <v>85</v>
      </c>
      <c r="B7" s="18">
        <v>24864481.889701</v>
      </c>
      <c r="C7" s="18">
        <v>19328404.148988</v>
      </c>
      <c r="D7" s="18">
        <v>45333223.267844</v>
      </c>
      <c r="E7" s="8" t="s">
        <v>86</v>
      </c>
    </row>
    <row r="8" spans="1:5" x14ac:dyDescent="0.25">
      <c r="A8" t="s">
        <v>87</v>
      </c>
      <c r="B8" s="18">
        <v>132410050.063164</v>
      </c>
      <c r="C8" s="18">
        <v>93928100.984292</v>
      </c>
      <c r="D8" s="18">
        <v>70304331.076991</v>
      </c>
      <c r="E8" s="8" t="s">
        <v>88</v>
      </c>
    </row>
    <row r="9" spans="1:5" x14ac:dyDescent="0.25">
      <c r="A9" t="s">
        <v>89</v>
      </c>
      <c r="B9" s="18">
        <v>12203476.754647002</v>
      </c>
      <c r="C9" s="18">
        <v>19841465.381114997</v>
      </c>
      <c r="D9" s="18">
        <v>0</v>
      </c>
      <c r="E9" s="8" t="s">
        <v>90</v>
      </c>
    </row>
    <row r="10" spans="1:5" x14ac:dyDescent="0.25">
      <c r="A10" t="s">
        <v>91</v>
      </c>
      <c r="B10" s="18">
        <v>69780965.303353</v>
      </c>
      <c r="C10" s="18">
        <v>169719274.787685</v>
      </c>
      <c r="D10" s="18">
        <v>23044961.752243</v>
      </c>
      <c r="E10" s="8" t="s">
        <v>92</v>
      </c>
    </row>
    <row r="11" spans="1:5" x14ac:dyDescent="0.25">
      <c r="A11" t="s">
        <v>93</v>
      </c>
      <c r="B11" s="18">
        <v>81344286.182166</v>
      </c>
      <c r="C11" s="18">
        <v>95715316.436425</v>
      </c>
      <c r="D11" s="18">
        <v>333154476.913764</v>
      </c>
      <c r="E11" s="8" t="s">
        <v>94</v>
      </c>
    </row>
    <row r="12" spans="1:5" x14ac:dyDescent="0.25">
      <c r="A12" t="s">
        <v>32</v>
      </c>
      <c r="B12" s="34">
        <v>333079848</v>
      </c>
      <c r="C12" s="34">
        <v>328482972</v>
      </c>
      <c r="D12" s="34">
        <v>326346000</v>
      </c>
      <c r="E12" s="8" t="s">
        <v>95</v>
      </c>
    </row>
    <row r="15" spans="1:1" x14ac:dyDescent="0.25">
      <c r="A15" s="19" t="s">
        <v>96</v>
      </c>
    </row>
    <row r="16" ht="22" customHeight="1" spans="1:5" x14ac:dyDescent="0.25">
      <c r="A16" s="35" t="s">
        <v>97</v>
      </c>
      <c r="B16" s="35"/>
      <c r="C16" s="35"/>
      <c r="D16" s="35"/>
      <c r="E16" s="35"/>
    </row>
    <row r="17" ht="22" customHeight="1" spans="1:5" x14ac:dyDescent="0.25">
      <c r="A17" s="35" t="s">
        <v>98</v>
      </c>
      <c r="B17" s="35"/>
      <c r="C17" s="35"/>
      <c r="D17" s="35"/>
      <c r="E17" s="35"/>
    </row>
    <row r="18" ht="22" customHeight="1" spans="1:5" x14ac:dyDescent="0.25">
      <c r="A18" s="35" t="s">
        <v>99</v>
      </c>
      <c r="B18" s="35"/>
      <c r="C18" s="35"/>
      <c r="D18" s="35"/>
      <c r="E18" s="35"/>
    </row>
    <row r="19" ht="54" customHeight="1" spans="1:5" x14ac:dyDescent="0.25">
      <c r="A19" s="35" t="s">
        <v>100</v>
      </c>
      <c r="B19" s="35"/>
      <c r="C19" s="35"/>
      <c r="D19" s="35"/>
      <c r="E19" s="35"/>
    </row>
    <row r="20" ht="38" customHeight="1" spans="1:5" x14ac:dyDescent="0.25">
      <c r="A20" s="35" t="s">
        <v>101</v>
      </c>
      <c r="B20" s="35"/>
      <c r="C20" s="35"/>
      <c r="D20" s="35"/>
      <c r="E20" s="35"/>
    </row>
    <row r="22" spans="1:1" x14ac:dyDescent="0.25">
      <c r="A22" s="36" t="s">
        <v>102</v>
      </c>
    </row>
  </sheetData>
  <mergeCells count="5">
    <mergeCell ref="A16:E16"/>
    <mergeCell ref="A17:E17"/>
    <mergeCell ref="A18:E18"/>
    <mergeCell ref="A19:E19"/>
    <mergeCell ref="A20:E20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2026-09-19T00:06:26Z</dcterms:modified>
</cp:coreProperties>
</file>