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<sst xmlns="http://schemas.openxmlformats.org/spreadsheetml/2006/main" count="114" uniqueCount="102">
  <si>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Weyerhaeuser Company (WY)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</si>
  <si>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</si>
  <si>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</si>
  <si>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</si>
  <si>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</si>
  <si>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</si>
  <si>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</si>
  <si>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</si>
  <si>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</si>
  <si>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</si>
  <si>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</si>
  <si>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</si>
  <si>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</si>
  <si>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</si>
  <si>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</si>
  <si>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</si>
  <si>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</si>
  <si>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</si>
  <si>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</si>
  <si>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</si>
  <si>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</si>
  <si>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</si>
  <si>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</si>
  <si>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</si>
  <si>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</si>
  <si>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</si>
  <si>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</si>
  <si>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</si>
  <si>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</si>
  <si>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</si>
  <si>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</si>
  <si>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</si>
  <si>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</si>
  <si>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</si>
  <si>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</si>
  <si>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</si>
  <si>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</si>
  <si>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</si>
  <si>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</si>
  <si>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</si>
  <si>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</si>
  <si>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</si>
  <si>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</si>
  <si>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</si>
  <si>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</si>
  <si>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</si>
  <si>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</si>
  <si>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</si>
  <si>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</si>
  <si>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</si>
  <si>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</si>
  <si>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</si>
  <si>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</si>
  <si>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</si>
  <si>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</si>
  <si>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</si>
  <si>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</si>
  <si>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</si>
  <si>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</si>
  <si>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</si>
  <si>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</si>
  <si>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</si>
  <si>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</si>
  <si>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</si>
  <si>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</si>
  <si>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</si>
  <si>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</si>
  <si>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</si>
  <si>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</si>
  <si>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</si>
  <si>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</si>
  <si>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</si>
  <si>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</si>
  <si>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</si>
  <si>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</si>
  <si>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</si>
  <si>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</si>
  <si>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</si>
  <si>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</si>
  <si>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</si>
  <si>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</si>
  <si>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</si>
  <si>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</si>
  <si>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</si>
  <si>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</si>
  <si>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</si>
  <si>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</si>
  <si>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</si>
  <si>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</si>
  <si>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</si>
  <si>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</si>
  <si>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</si>
  <si>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</si>
  <si>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</si>
  <si>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</si>
  <si>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</si>
  <si>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</si>
  <si>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</si>
  <si>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</si>
  <si>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9.1% of revenue against depreciation of 6.4%. A perpetuity has to be a steady state, so the terminal year uses maintenance capex at depreciation and then charges the reinvestment terminal growth requires (g/ROIC of NOPAT). The bridge is shown under Terminal Value.</t>
  </si>
  <si>
    <t>Current EV/EBITDA of 21.4x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</si>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</sst>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-0.12148651794619336</v>
      </c>
    </row>
    <row r="7" spans="1:2" x14ac:dyDescent="0.25">
      <c r="A7" t="s">
        <v>5</v>
      </c>
      <c r="B7" s="6">
        <v>0.1544136743468436</v>
      </c>
    </row>
    <row r="8" spans="1:2" x14ac:dyDescent="0.25">
      <c r="A8" t="s">
        <v>6</v>
      </c>
      <c r="B8" s="6">
        <v>0.10458911419423693</v>
      </c>
    </row>
    <row r="9" spans="1:2" x14ac:dyDescent="0.25">
      <c r="A9" t="s">
        <v>7</v>
      </c>
      <c r="B9" s="6">
        <v>0.06411713903595978</v>
      </c>
    </row>
    <row r="10" spans="1:2" x14ac:dyDescent="0.25">
      <c r="A10" t="s">
        <v>8</v>
      </c>
      <c r="B10" s="6">
        <v>0.09119005314201646</v>
      </c>
    </row>
    <row r="11" spans="1:2" x14ac:dyDescent="0.25">
      <c r="A11" t="s">
        <v>9</v>
      </c>
      <c r="B11" s="6">
        <v>0.02151394422310757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0.08612585432123525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0.9263</v>
      </c>
      <c r="C19" s="8" t="s">
        <v>19</v>
      </c>
    </row>
    <row r="20" spans="1:2" x14ac:dyDescent="0.25">
      <c r="A20" t="s">
        <v>20</v>
      </c>
      <c r="B20" s="10">
        <f>B17+B19*B18</f>
        <v>0.1009265</v>
      </c>
    </row>
    <row r="21" spans="1:3" x14ac:dyDescent="0.25">
      <c r="A21" t="s">
        <v>21</v>
      </c>
      <c r="B21" s="6">
        <v>0.05101850121472622</v>
      </c>
      <c r="C21" s="8" t="s">
        <v>22</v>
      </c>
    </row>
    <row r="22" spans="1:2" x14ac:dyDescent="0.25">
      <c r="A22" t="s">
        <v>23</v>
      </c>
      <c r="B22" s="11">
        <v>15294017536</v>
      </c>
    </row>
    <row r="23" spans="1:2" x14ac:dyDescent="0.25">
      <c r="A23" t="s">
        <v>24</v>
      </c>
      <c r="B23" s="11">
        <v>5597000000</v>
      </c>
    </row>
    <row r="24" spans="1:2" x14ac:dyDescent="0.25">
      <c r="A24" t="s">
        <v>25</v>
      </c>
      <c r="B24" s="10">
        <f>B22/(B22+B23)</f>
        <v>0.7320858119833039</v>
      </c>
    </row>
    <row r="25" spans="1:2" x14ac:dyDescent="0.25">
      <c r="A25" t="s">
        <v>26</v>
      </c>
      <c r="B25" s="10">
        <f>1-B24</f>
        <v>0.2679141880166961</v>
      </c>
    </row>
    <row r="26" spans="1:2" x14ac:dyDescent="0.25">
      <c r="A26" t="s">
        <v>27</v>
      </c>
      <c r="B26" s="12">
        <f>B24*B20+B25*B21*(1-B8)</f>
        <v>0.08612585432123525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6905000000</v>
      </c>
      <c r="C29" s="8" t="s">
        <v>30</v>
      </c>
    </row>
    <row r="30" spans="1:2" x14ac:dyDescent="0.25">
      <c r="A30" t="s">
        <v>31</v>
      </c>
      <c r="B30" s="11">
        <v>5133000000</v>
      </c>
    </row>
    <row r="31" spans="1:2" x14ac:dyDescent="0.25">
      <c r="A31" t="s">
        <v>32</v>
      </c>
      <c r="B31" s="13">
        <v>723567000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-0.12148651794619336</v>
      </c>
      <c r="C5" s="10">
        <f>Assumptions!B6</f>
        <v>-0.12148651794619336</v>
      </c>
      <c r="D5" s="10">
        <f>Assumptions!B6</f>
        <v>-0.12148651794619336</v>
      </c>
      <c r="E5" s="10">
        <f>Assumptions!B6</f>
        <v>-0.12148651794619336</v>
      </c>
      <c r="F5" s="10">
        <f>Assumptions!B6</f>
        <v>-0.12148651794619336</v>
      </c>
    </row>
    <row r="6" spans="1:6" x14ac:dyDescent="0.25">
      <c r="A6" t="s">
        <v>43</v>
      </c>
      <c r="B6" s="18">
        <f>Assumptions!B29*(1+B5)</f>
        <v>6066135593.581534</v>
      </c>
      <c r="C6" s="18">
        <f>B6*(1+C5)</f>
        <v>5329181902.927849</v>
      </c>
      <c r="D6" s="18">
        <f>C6*(1+D5)</f>
        <v>4681758150.039276</v>
      </c>
      <c r="E6" s="18">
        <f>D6*(1+E5)</f>
        <v>4112987654.5247927</v>
      </c>
      <c r="F6" s="18">
        <f>E6*(1+F5)</f>
        <v>3613315106.0208945</v>
      </c>
    </row>
    <row r="7" spans="1:6" x14ac:dyDescent="0.25">
      <c r="A7" t="s">
        <v>5</v>
      </c>
      <c r="B7" s="10">
        <f>Assumptions!B7</f>
        <v>0.1544136743468436</v>
      </c>
      <c r="C7" s="10">
        <f>Assumptions!B7</f>
        <v>0.1544136743468436</v>
      </c>
      <c r="D7" s="10">
        <f>Assumptions!B7</f>
        <v>0.1544136743468436</v>
      </c>
      <c r="E7" s="10">
        <f>Assumptions!B7</f>
        <v>0.1544136743468436</v>
      </c>
      <c r="F7" s="10">
        <f>Assumptions!B7</f>
        <v>0.1544136743468436</v>
      </c>
    </row>
    <row r="8" spans="1:6" x14ac:dyDescent="0.25">
      <c r="A8" t="s">
        <v>44</v>
      </c>
      <c r="B8" s="18">
        <f>B6*B7</f>
        <v>936694286.0910959</v>
      </c>
      <c r="C8" s="18">
        <f>C6*C7</f>
        <v>822898558.8937932</v>
      </c>
      <c r="D8" s="18">
        <f>D6*D7</f>
        <v>722927478.3508458</v>
      </c>
      <c r="E8" s="18">
        <f>E6*E7</f>
        <v>635101536.2783794</v>
      </c>
      <c r="F8" s="18">
        <f>F6*F7</f>
        <v>557945262.093641</v>
      </c>
    </row>
    <row r="9" spans="1:6" x14ac:dyDescent="0.25">
      <c r="A9" t="s">
        <v>45</v>
      </c>
      <c r="B9" s="18">
        <f>B8*(1-Assumptions!B8)</f>
        <v>838726260.4380251</v>
      </c>
      <c r="C9" s="18">
        <f>C8*(1-Assumptions!B8)</f>
        <v>736832327.5473773</v>
      </c>
      <c r="D9" s="18">
        <f>D8*(1-Assumptions!B8)</f>
        <v>647317133.7634575</v>
      </c>
      <c r="E9" s="18">
        <f>E8*(1-Assumptions!B8)</f>
        <v>568676829.1756247</v>
      </c>
      <c r="F9" s="18">
        <f>F8*(1-Assumptions!B8)</f>
        <v>499590261.36239576</v>
      </c>
    </row>
    <row r="10" spans="1:6" x14ac:dyDescent="0.25">
      <c r="A10" t="s">
        <v>46</v>
      </c>
      <c r="B10" s="18">
        <f>B6*Assumptions!B9</f>
        <v>388943259.26465166</v>
      </c>
      <c r="C10" s="18">
        <f>C6*Assumptions!B9</f>
        <v>341691897.0179456</v>
      </c>
      <c r="D10" s="18">
        <f>D6*Assumptions!B9</f>
        <v>300180938.2388061</v>
      </c>
      <c r="E10" s="18">
        <f>E6*Assumptions!B9</f>
        <v>263713001.29835224</v>
      </c>
      <c r="F10" s="18">
        <f>F6*Assumptions!B9</f>
        <v>231675427.03347546</v>
      </c>
    </row>
    <row r="11" spans="1:6" x14ac:dyDescent="0.25">
      <c r="A11" t="s">
        <v>47</v>
      </c>
      <c r="B11" s="18">
        <f>-B6*Assumptions!B10</f>
        <v>-553171227.1453776</v>
      </c>
      <c r="C11" s="18">
        <f>-C6*Assumptions!B10</f>
        <v>-485968380.93146294</v>
      </c>
      <c r="D11" s="18">
        <f>-D6*Assumptions!B10</f>
        <v>-426929774.50015026</v>
      </c>
      <c r="E11" s="18">
        <f>-E6*Assumptions!B10</f>
        <v>-375063562.7885735</v>
      </c>
      <c r="F11" s="18">
        <f>-F6*Assumptions!B10</f>
        <v>-329498396.5368962</v>
      </c>
    </row>
    <row r="12" spans="1:6" x14ac:dyDescent="0.25">
      <c r="A12" t="s">
        <v>48</v>
      </c>
      <c r="B12" s="18">
        <f>-(B6-Assumptions!B29)*Assumptions!B11</f>
        <v>18047282.05043711</v>
      </c>
      <c r="C12" s="18">
        <f>-(C6-B6)*Assumptions!B11</f>
        <v>15854780.595736662</v>
      </c>
      <c r="D12" s="18">
        <f>-(D6-C6)*Assumptions!B11</f>
        <v>13928638.508359732</v>
      </c>
      <c r="E12" s="18">
        <f>-(E6-D6)*Assumptions!B11</f>
        <v>12236496.716247851</v>
      </c>
      <c r="F12" s="18">
        <f>-(F6-E6)*Assumptions!B11</f>
        <v>10749927.338330876</v>
      </c>
    </row>
    <row r="13" spans="1:6" x14ac:dyDescent="0.25">
      <c r="A13" s="19" t="s">
        <v>49</v>
      </c>
      <c r="B13" s="20">
        <f>B9+B10+B11+B12</f>
        <v>692545574.6077362</v>
      </c>
      <c r="C13" s="20">
        <f>C9+C10+C11+C12</f>
        <v>608410624.2295965</v>
      </c>
      <c r="D13" s="20">
        <f>D9+D10+D11+D12</f>
        <v>534496936.01047313</v>
      </c>
      <c r="E13" s="20">
        <f>E9+E10+E11+E12</f>
        <v>469562764.4016513</v>
      </c>
      <c r="F13" s="20">
        <f>F9+F10+F11+F12</f>
        <v>412517219.1973058</v>
      </c>
    </row>
    <row r="14" spans="1:6" x14ac:dyDescent="0.25">
      <c r="A14" t="s">
        <v>50</v>
      </c>
      <c r="B14" s="21">
        <f>1/(1+Assumptions!$B$26)^(1-0.5*Assumptions!$B$32)</f>
        <v>0.9595330190330412</v>
      </c>
      <c r="C14" s="21">
        <f>1/(1+Assumptions!$B$26)^(2-0.5*Assumptions!$B$32)</f>
        <v>0.8834455189658411</v>
      </c>
      <c r="D14" s="21">
        <f>1/(1+Assumptions!$B$26)^(3-0.5*Assumptions!$B$32)</f>
        <v>0.8133914826269765</v>
      </c>
      <c r="E14" s="21">
        <f>1/(1+Assumptions!$B$26)^(4-0.5*Assumptions!$B$32)</f>
        <v>0.748892478151437</v>
      </c>
      <c r="F14" s="21">
        <f>1/(1+Assumptions!$B$26)^(5-0.5*Assumptions!$B$32)</f>
        <v>0.6895080115917603</v>
      </c>
    </row>
    <row r="15" spans="1:6" x14ac:dyDescent="0.25">
      <c r="A15" s="19" t="s">
        <v>51</v>
      </c>
      <c r="B15" s="20">
        <f>B13*B14</f>
        <v>664520346.0213335</v>
      </c>
      <c r="C15" s="20">
        <f>C13*C14</f>
        <v>537497639.6668472</v>
      </c>
      <c r="D15" s="20">
        <f>D13*D14</f>
        <v>434755255.2411349</v>
      </c>
      <c r="E15" s="20">
        <f>E13*E14</f>
        <v>351652022.28039205</v>
      </c>
      <c r="F15" s="20">
        <f>F13*F14</f>
        <v>284433927.5560967</v>
      </c>
    </row>
    <row r="17" spans="1:2" x14ac:dyDescent="0.25">
      <c r="A17" s="22" t="s">
        <v>52</v>
      </c>
      <c r="B17" s="23">
        <f>SUM(B15:F15)</f>
        <v>2272859190.7658043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412517219.1973058</v>
      </c>
    </row>
    <row r="5" spans="1:2" x14ac:dyDescent="0.25">
      <c r="A5" t="s">
        <v>56</v>
      </c>
      <c r="B5" s="18">
        <f>IF(Assumptions!$B$33=0,B4,B4-Forecast!F11-Forecast!F10-Forecast!F12)</f>
        <v>499590261.36239576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0.29027288259753126</v>
      </c>
    </row>
    <row r="7" spans="1:2" x14ac:dyDescent="0.25">
      <c r="A7" t="s">
        <v>58</v>
      </c>
      <c r="B7" s="18">
        <f>-MAX(Forecast!F9,0)*B6</f>
        <v>-145017505.28331667</v>
      </c>
    </row>
    <row r="8" spans="1:2" x14ac:dyDescent="0.25">
      <c r="A8" t="s">
        <v>59</v>
      </c>
      <c r="B8" s="18">
        <f>IF(OR(Assumptions!$B$33=0,Assumptions!B12&lt;=0),B5,MAX(B5+B7,0))</f>
        <v>354572756.0790791</v>
      </c>
    </row>
    <row r="9" spans="1:2" x14ac:dyDescent="0.25">
      <c r="A9" t="s">
        <v>60</v>
      </c>
      <c r="B9" s="18">
        <f>B8*(1+Assumptions!B12)/(Assumptions!B26-Assumptions!B12)</f>
        <v>5945717716.615983</v>
      </c>
    </row>
    <row r="10" spans="1:2" x14ac:dyDescent="0.25">
      <c r="A10" t="s">
        <v>61</v>
      </c>
      <c r="B10" s="18">
        <f>B9/(1+Assumptions!B26)^(5-0.5*Assumptions!B32)</f>
        <v>4099620000.2697883</v>
      </c>
    </row>
    <row r="11" spans="1:2" x14ac:dyDescent="0.25">
      <c r="A11" t="s">
        <v>62</v>
      </c>
      <c r="B11" s="18">
        <f>Forecast!B17+B10</f>
        <v>6372479191.035593</v>
      </c>
    </row>
    <row r="12" spans="1:2" x14ac:dyDescent="0.25">
      <c r="A12" t="s">
        <v>63</v>
      </c>
      <c r="B12" s="18">
        <f>-Assumptions!B30</f>
        <v>-5133000000</v>
      </c>
    </row>
    <row r="13" spans="1:2" x14ac:dyDescent="0.25">
      <c r="A13" t="s">
        <v>64</v>
      </c>
      <c r="B13" s="18">
        <f>B11+B12</f>
        <v>1239479191.035593</v>
      </c>
    </row>
    <row r="14" spans="1:2" x14ac:dyDescent="0.25">
      <c r="A14" s="19" t="s">
        <v>65</v>
      </c>
      <c r="B14" s="24">
        <f>B13/Assumptions!B31</f>
        <v>1.7130123278640306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789620689.1271164</v>
      </c>
    </row>
    <row r="18" spans="1:2" x14ac:dyDescent="0.25">
      <c r="A18" t="s">
        <v>60</v>
      </c>
      <c r="B18" s="18">
        <f>B17*Assumptions!B13</f>
        <v>15792413782.542328</v>
      </c>
    </row>
    <row r="19" spans="1:2" x14ac:dyDescent="0.25">
      <c r="A19" t="s">
        <v>61</v>
      </c>
      <c r="B19" s="18">
        <f>B18/(1+Assumptions!B26)^(5-0.5*Assumptions!B32)</f>
        <v>10888995825.435072</v>
      </c>
    </row>
    <row r="20" spans="1:2" x14ac:dyDescent="0.25">
      <c r="A20" t="s">
        <v>62</v>
      </c>
      <c r="B20" s="18">
        <f>Forecast!B17+B19</f>
        <v>13161855016.200876</v>
      </c>
    </row>
    <row r="21" spans="1:2" x14ac:dyDescent="0.25">
      <c r="A21" t="s">
        <v>63</v>
      </c>
      <c r="B21" s="18">
        <f>-Assumptions!B30</f>
        <v>-5133000000</v>
      </c>
    </row>
    <row r="22" spans="1:2" x14ac:dyDescent="0.25">
      <c r="A22" t="s">
        <v>64</v>
      </c>
      <c r="B22" s="18">
        <f>B20+B21</f>
        <v>8028855016.200876</v>
      </c>
    </row>
    <row r="23" spans="1:2" x14ac:dyDescent="0.25">
      <c r="A23" s="19" t="s">
        <v>65</v>
      </c>
      <c r="B23" s="25">
        <f>B22/Assumptions!B31</f>
        <v>11.096215023903628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1.7130123278640306</v>
      </c>
    </row>
    <row r="29" spans="1:2" x14ac:dyDescent="0.25">
      <c r="A29" s="19" t="s">
        <v>73</v>
      </c>
      <c r="B29" s="12">
        <f>B28/B26-1</f>
        <v>-0.919273688602072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0.066126</v>
      </c>
      <c r="B5" s="31">
        <v>4.11721201003416</v>
      </c>
      <c r="C5" s="31">
        <v>4.156349643121271</v>
      </c>
      <c r="D5" s="31">
        <v>4.195487276208376</v>
      </c>
      <c r="E5" s="31">
        <v>4.234624909295485</v>
      </c>
      <c r="F5" s="31">
        <v>4.2737625423825945</v>
      </c>
    </row>
    <row r="6" spans="1:6" x14ac:dyDescent="0.25">
      <c r="A6" s="30">
        <v>0.076126</v>
      </c>
      <c r="B6" s="31">
        <v>2.725905886192798</v>
      </c>
      <c r="C6" s="31">
        <v>2.758503675341573</v>
      </c>
      <c r="D6" s="31">
        <v>2.7911014644903456</v>
      </c>
      <c r="E6" s="31">
        <v>2.8236992536391194</v>
      </c>
      <c r="F6" s="31">
        <v>2.856297042787892</v>
      </c>
    </row>
    <row r="7" spans="1:6" x14ac:dyDescent="0.25">
      <c r="A7" s="30">
        <v>0.086126</v>
      </c>
      <c r="B7" s="31">
        <v>1.6577220162681754</v>
      </c>
      <c r="C7" s="31">
        <v>1.6853602314526892</v>
      </c>
      <c r="D7" s="32">
        <v>1.7129984466372028</v>
      </c>
      <c r="E7" s="31">
        <v>1.7406366618217166</v>
      </c>
      <c r="F7" s="31">
        <v>1.7682748770062304</v>
      </c>
    </row>
    <row r="8" spans="1:6" x14ac:dyDescent="0.25">
      <c r="A8" s="30">
        <v>0.096126</v>
      </c>
      <c r="B8" s="31">
        <v>0.8117764957370228</v>
      </c>
      <c r="C8" s="31">
        <v>0.8355389989765418</v>
      </c>
      <c r="D8" s="31">
        <v>0.8593015022160607</v>
      </c>
      <c r="E8" s="31">
        <v>0.8830640054555811</v>
      </c>
      <c r="F8" s="31">
        <v>0.9068265086950987</v>
      </c>
    </row>
    <row r="9" spans="1:6" x14ac:dyDescent="0.25">
      <c r="A9" s="30">
        <v>0.106126</v>
      </c>
      <c r="B9" s="31">
        <v>0.12521319186226146</v>
      </c>
      <c r="C9" s="31">
        <v>0.14587473326579742</v>
      </c>
      <c r="D9" s="31">
        <v>0.16653627466933205</v>
      </c>
      <c r="E9" s="31">
        <v>0.18719781607286934</v>
      </c>
      <c r="F9" s="31">
        <v>0.20785935747640266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6905000000</v>
      </c>
      <c r="C5" s="18">
        <v>7124000000</v>
      </c>
      <c r="D5" s="18">
        <v>7674000000</v>
      </c>
      <c r="E5" s="18">
        <v>10184000000</v>
      </c>
      <c r="F5" s="8" t="s">
        <v>84</v>
      </c>
    </row>
    <row r="6" spans="1:6" x14ac:dyDescent="0.25">
      <c r="A6" t="s">
        <v>44</v>
      </c>
      <c r="B6" s="18">
        <v>447000000</v>
      </c>
      <c r="C6" s="18">
        <v>724000000</v>
      </c>
      <c r="D6" s="18">
        <v>1128000000</v>
      </c>
      <c r="E6" s="18">
        <v>3099000000</v>
      </c>
      <c r="F6" s="8" t="s">
        <v>85</v>
      </c>
    </row>
    <row r="7" spans="1:6" x14ac:dyDescent="0.25">
      <c r="A7" t="s">
        <v>86</v>
      </c>
      <c r="B7" s="18">
        <v>509000000</v>
      </c>
      <c r="C7" s="18">
        <v>502000000</v>
      </c>
      <c r="D7" s="18">
        <v>500000000</v>
      </c>
      <c r="E7" s="18">
        <v>480000000</v>
      </c>
      <c r="F7" s="8" t="s">
        <v>87</v>
      </c>
    </row>
    <row r="8" spans="1:6" x14ac:dyDescent="0.25">
      <c r="A8" t="s">
        <v>88</v>
      </c>
      <c r="B8" s="18">
        <v>943000000</v>
      </c>
      <c r="C8" s="18">
        <v>667000000</v>
      </c>
      <c r="D8" s="18">
        <v>680000000</v>
      </c>
      <c r="E8" s="18">
        <v>468000000</v>
      </c>
      <c r="F8" s="8" t="s">
        <v>89</v>
      </c>
    </row>
    <row r="9" spans="1:6" x14ac:dyDescent="0.25">
      <c r="A9" t="s">
        <v>90</v>
      </c>
      <c r="B9" s="18">
        <v>-16000000</v>
      </c>
      <c r="C9" s="18">
        <v>15000000</v>
      </c>
      <c r="D9" s="18">
        <v>-54000000</v>
      </c>
      <c r="E9" s="18">
        <v>112000000</v>
      </c>
      <c r="F9" s="8" t="s">
        <v>91</v>
      </c>
    </row>
    <row r="10" spans="1:6" x14ac:dyDescent="0.25">
      <c r="A10" t="s">
        <v>92</v>
      </c>
      <c r="B10" s="18">
        <v>5597000000</v>
      </c>
      <c r="C10" s="18">
        <v>5105000000</v>
      </c>
      <c r="D10" s="18">
        <v>5088000000</v>
      </c>
      <c r="E10" s="18">
        <v>5075000000</v>
      </c>
      <c r="F10" s="8" t="s">
        <v>93</v>
      </c>
    </row>
    <row r="11" spans="1:6" x14ac:dyDescent="0.25">
      <c r="A11" t="s">
        <v>94</v>
      </c>
      <c r="B11" s="18">
        <v>464000000</v>
      </c>
      <c r="C11" s="18">
        <v>684000000</v>
      </c>
      <c r="D11" s="18">
        <v>1164000000</v>
      </c>
      <c r="E11" s="18">
        <v>1581000000</v>
      </c>
      <c r="F11" s="8" t="s">
        <v>95</v>
      </c>
    </row>
    <row r="12" spans="1:6" x14ac:dyDescent="0.25">
      <c r="A12" t="s">
        <v>32</v>
      </c>
      <c r="B12" s="34">
        <v>723567000</v>
      </c>
      <c r="C12" s="34">
        <v>728957000</v>
      </c>
      <c r="D12" s="34">
        <v>732222000</v>
      </c>
      <c r="E12" s="34">
        <v>742953000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