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<sst xmlns="http://schemas.openxmlformats.org/spreadsheetml/2006/main" count="121" uniqueCount="108">
  <si>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Weyerhaeuser Company (WY)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</si>
  <si>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</si>
  <si>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</si>
  <si>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</si>
  <si>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</si>
  <si>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</si>
  <si>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</si>
  <si>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</si>
  <si>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</si>
  <si>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</si>
  <si>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</si>
  <si>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</si>
  <si>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</si>
  <si>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</si>
  <si>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</si>
  <si>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</si>
  <si>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</si>
  <si>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</si>
  <si>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</si>
  <si>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</si>
  <si>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</si>
  <si>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</si>
  <si>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</si>
  <si>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</si>
  <si>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 rating at 1.6x interest cover, capped at 200bp because one year's cover is too noisy to charge more.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</si>
  <si>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</si>
  <si>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</si>
  <si>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</si>
  <si>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</si>
  <si>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</si>
  <si>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</si>
  <si>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</si>
  <si>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</si>
  <si>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</si>
  <si>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</si>
  <si>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</si>
  <si>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</si>
  <si>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</si>
  <si>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</si>
  <si>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</si>
  <si>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</si>
  <si>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</si>
  <si>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</si>
  <si>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</si>
  <si>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</si>
  <si>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</si>
  <si>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</si>
  <si>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</si>
  <si>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</si>
  <si>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</si>
  <si>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</si>
  <si>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</si>
  <si>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</si>
  <si>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</si>
  <si>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</si>
  <si>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</si>
  <si>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</si>
  <si>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</si>
  <si>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</si>
  <si>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</si>
  <si>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</si>
  <si>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</si>
  <si>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</si>
  <si>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</si>
  <si>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</si>
  <si>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</si>
  <si>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</si>
  <si>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</si>
  <si>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</si>
  <si>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</si>
  <si>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</si>
  <si>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</si>
  <si>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</si>
  <si>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</si>
  <si>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</si>
  <si>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</si>
  <si>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</si>
  <si>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</si>
  <si>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</si>
  <si>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</si>
  <si>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</si>
  <si>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</si>
  <si>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</si>
  <si>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</si>
  <si>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</si>
  <si>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</si>
  <si>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</si>
  <si>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</si>
  <si>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</si>
  <si>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</si>
  <si>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</si>
  <si>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</si>
  <si>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</si>
  <si>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</si>
  <si>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</si>
  <si>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</si>
  <si>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</si>
  <si>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</si>
  <si>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</si>
  <si>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</si>
  <si>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</si>
  <si>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</si>
  <si>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</si>
  <si>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</si>
  <si>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</si>
  <si>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9.1% of revenue against depreciation of 6.4%.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</si>
  <si>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20.7x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</si>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</sst>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0.04865337436640105</v>
      </c>
    </row>
    <row r="7" spans="1:2" x14ac:dyDescent="0.25">
      <c r="A7" t="s">
        <v>4</v>
      </c>
      <c r="B7" s="5">
        <v>0.1544136743468436</v>
      </c>
    </row>
    <row r="8" spans="1:2" x14ac:dyDescent="0.25">
      <c r="A8" t="s">
        <v>5</v>
      </c>
      <c r="B8" s="5">
        <v>0.10458911419423693</v>
      </c>
    </row>
    <row r="9" spans="1:2" x14ac:dyDescent="0.25">
      <c r="A9" t="s">
        <v>6</v>
      </c>
      <c r="B9" s="5">
        <v>0.06411713903595978</v>
      </c>
    </row>
    <row r="10" spans="1:3" x14ac:dyDescent="0.25">
      <c r="A10" t="s">
        <v>7</v>
      </c>
      <c r="B10" s="5">
        <v>0.09119005314201646</v>
      </c>
      <c r="C10" s="6" t="s">
        <v>8</v>
      </c>
    </row>
    <row r="11" spans="1:2" x14ac:dyDescent="0.25">
      <c r="A11" t="s">
        <v>9</v>
      </c>
      <c r="B11" s="5">
        <v>0.08599333974598863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0.0817117090697701</v>
      </c>
      <c r="C14" s="6" t="s">
        <v>13</v>
      </c>
    </row>
    <row r="15" spans="1:3" x14ac:dyDescent="0.25">
      <c r="A15" t="s">
        <v>14</v>
      </c>
      <c r="B15" s="5">
        <v>0.06411713903595978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0.95511</v>
      </c>
      <c r="C19" s="6" t="s">
        <v>21</v>
      </c>
    </row>
    <row r="20" spans="1:2" x14ac:dyDescent="0.25">
      <c r="A20" t="s">
        <v>22</v>
      </c>
      <c r="B20" s="9">
        <f>B17+B19*B18</f>
        <v>0.089341153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14658960384</v>
      </c>
    </row>
    <row r="23" spans="1:2" x14ac:dyDescent="0.25">
      <c r="A23" t="s">
        <v>26</v>
      </c>
      <c r="B23" s="10">
        <v>5597000000</v>
      </c>
    </row>
    <row r="24" spans="1:2" x14ac:dyDescent="0.25">
      <c r="A24" t="s">
        <v>27</v>
      </c>
      <c r="B24" s="9">
        <f>B22/(B22+B23)</f>
        <v>0.7236862684417067</v>
      </c>
    </row>
    <row r="25" spans="1:2" x14ac:dyDescent="0.25">
      <c r="A25" t="s">
        <v>28</v>
      </c>
      <c r="B25" s="9">
        <f>1-B24</f>
        <v>0.2763137315582933</v>
      </c>
    </row>
    <row r="26" spans="1:2" x14ac:dyDescent="0.25">
      <c r="A26" t="s">
        <v>29</v>
      </c>
      <c r="B26" s="11">
        <f>B24*B20+B25*B21*(1-B8)</f>
        <v>0.0817117090697701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6905000000</v>
      </c>
      <c r="C29" s="6" t="s">
        <v>32</v>
      </c>
    </row>
    <row r="30" spans="1:2" x14ac:dyDescent="0.25">
      <c r="A30" t="s">
        <v>33</v>
      </c>
      <c r="B30" s="10">
        <v>5133000000</v>
      </c>
    </row>
    <row r="31" spans="1:2" x14ac:dyDescent="0.25">
      <c r="A31" t="s">
        <v>34</v>
      </c>
      <c r="B31" s="12">
        <v>723567000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0.04865337436640105</v>
      </c>
      <c r="C5" s="5">
        <v>0.05863980128412827</v>
      </c>
      <c r="D5" s="5">
        <v>0.05443482612361224</v>
      </c>
      <c r="E5" s="5">
        <v>0.0502298509630962</v>
      </c>
      <c r="F5" s="5">
        <v>0.04602487580258017</v>
      </c>
      <c r="G5" s="5">
        <v>0.04181990064206413</v>
      </c>
      <c r="H5" s="5">
        <v>0.0376149254815481</v>
      </c>
      <c r="I5" s="5">
        <v>0.03340995032103207</v>
      </c>
      <c r="J5" s="5">
        <v>0.029204975160516036</v>
      </c>
      <c r="K5" s="5">
        <v>0.025</v>
      </c>
    </row>
    <row r="6" spans="1:11" x14ac:dyDescent="0.25">
      <c r="A6" t="s">
        <v>50</v>
      </c>
      <c r="B6" s="18">
        <f>Assumptions!B29*(1+B5)</f>
        <v>7240951549.999999</v>
      </c>
      <c r="C6" s="18">
        <f>B6*(1+C5)</f>
        <v>7665559510</v>
      </c>
      <c r="D6" s="18">
        <f>C6*(1+D5)</f>
        <v>8082832909.067053</v>
      </c>
      <c r="E6" s="18">
        <f>D6*(1+E5)</f>
        <v>8488832401.4491005</v>
      </c>
      <c r="F6" s="18">
        <f>E6*(1+F5)</f>
        <v>8879529858.434713</v>
      </c>
      <c r="G6" s="18">
        <f>F6*(1+G5)</f>
        <v>9250870914.862694</v>
      </c>
      <c r="H6" s="18">
        <f>G6*(1+H5)</f>
        <v>9598841734.964674</v>
      </c>
      <c r="I6" s="18">
        <f>H6*(1+I5)</f>
        <v>9919538560.469294</v>
      </c>
      <c r="J6" s="18">
        <f>I6*(1+J5)</f>
        <v>10209238437.73158</v>
      </c>
      <c r="K6" s="18">
        <f>J6*(1+K5)</f>
        <v>10464469398.67487</v>
      </c>
    </row>
    <row r="7" spans="1:11" x14ac:dyDescent="0.25">
      <c r="A7" t="s">
        <v>4</v>
      </c>
      <c r="B7" s="9">
        <f>Assumptions!B7</f>
        <v>0.1544136743468436</v>
      </c>
      <c r="C7" s="9">
        <f>Assumptions!B7</f>
        <v>0.1544136743468436</v>
      </c>
      <c r="D7" s="9">
        <f>Assumptions!B7</f>
        <v>0.1544136743468436</v>
      </c>
      <c r="E7" s="9">
        <f>Assumptions!B7</f>
        <v>0.1544136743468436</v>
      </c>
      <c r="F7" s="9">
        <f>Assumptions!B7</f>
        <v>0.1544136743468436</v>
      </c>
      <c r="G7" s="9">
        <f>Assumptions!B7</f>
        <v>0.1544136743468436</v>
      </c>
      <c r="H7" s="9">
        <f>Assumptions!B7</f>
        <v>0.1544136743468436</v>
      </c>
      <c r="I7" s="9">
        <f>Assumptions!B7</f>
        <v>0.1544136743468436</v>
      </c>
      <c r="J7" s="9">
        <f>Assumptions!B7</f>
        <v>0.1544136743468436</v>
      </c>
      <c r="K7" s="9">
        <f>Assumptions!B7</f>
        <v>0.1544136743468436</v>
      </c>
    </row>
    <row r="8" spans="1:11" x14ac:dyDescent="0.25">
      <c r="A8" t="s">
        <v>51</v>
      </c>
      <c r="B8" s="18">
        <f>B6*B7</f>
        <v>1118101934.6029723</v>
      </c>
      <c r="C8" s="18">
        <f>C6*C7</f>
        <v>1183667209.86349</v>
      </c>
      <c r="D8" s="18">
        <f>D6*D7</f>
        <v>1248099928.6206305</v>
      </c>
      <c r="E8" s="18">
        <f>E6*E7</f>
        <v>1310791802.0222957</v>
      </c>
      <c r="F8" s="18">
        <f>F6*F7</f>
        <v>1371120831.913412</v>
      </c>
      <c r="G8" s="18">
        <f>G6*G7</f>
        <v>1428460968.8722951</v>
      </c>
      <c r="H8" s="18">
        <f>H6*H7</f>
        <v>1482192421.7697265</v>
      </c>
      <c r="I8" s="18">
        <f>I6*I7</f>
        <v>1531712396.9472632</v>
      </c>
      <c r="J8" s="18">
        <f>J6*J7</f>
        <v>1576446019.4531627</v>
      </c>
      <c r="K8" s="18">
        <f>K6*K7</f>
        <v>1615857169.9394917</v>
      </c>
    </row>
    <row r="9" spans="1:11" x14ac:dyDescent="0.25">
      <c r="A9" t="s">
        <v>52</v>
      </c>
      <c r="B9" s="18">
        <f>B8*(1-Assumptions!B8)</f>
        <v>1001160643.6839849</v>
      </c>
      <c r="C9" s="18">
        <f>C8*(1-Assumptions!B8)</f>
        <v>1059868504.8831037</v>
      </c>
      <c r="D9" s="18">
        <f>D8*(1-Assumptions!B8)</f>
        <v>1117562262.6603084</v>
      </c>
      <c r="E9" s="18">
        <f>E8*(1-Assumptions!B8)</f>
        <v>1173697248.5557163</v>
      </c>
      <c r="F9" s="18">
        <f>F8*(1-Assumptions!B8)</f>
        <v>1227716518.6503232</v>
      </c>
      <c r="G9" s="18">
        <f>G8*(1-Assumptions!B8)</f>
        <v>1279059501.4769003</v>
      </c>
      <c r="H9" s="18">
        <f>H8*(1-Assumptions!B8)</f>
        <v>1327171229.31142</v>
      </c>
      <c r="I9" s="18">
        <f>I8*(1-Assumptions!B8)</f>
        <v>1371511954.1502175</v>
      </c>
      <c r="J9" s="18">
        <f>J8*(1-Assumptions!B8)</f>
        <v>1411566926.7035255</v>
      </c>
      <c r="K9" s="18">
        <f>K8*(1-Assumptions!B8)</f>
        <v>1446856099.8711138</v>
      </c>
    </row>
    <row r="10" spans="1:11" x14ac:dyDescent="0.25">
      <c r="A10" t="s">
        <v>53</v>
      </c>
      <c r="B10" s="18">
        <f>B6*Assumptions!B9</f>
        <v>464269097.2839984</v>
      </c>
      <c r="C10" s="18">
        <f>C6*Assumptions!B9</f>
        <v>491493744.89109373</v>
      </c>
      <c r="D10" s="18">
        <f>D6*Assumptions!B9</f>
        <v>518248121.4350835</v>
      </c>
      <c r="E10" s="18">
        <f>E6*Assumptions!B9</f>
        <v>544279647.3366723</v>
      </c>
      <c r="F10" s="18">
        <f>F6*Assumptions!B9</f>
        <v>569330050.5072148</v>
      </c>
      <c r="G10" s="18">
        <f>G6*Assumptions!B9</f>
        <v>593139376.6519678</v>
      </c>
      <c r="H10" s="18">
        <f>H6*Assumptions!B9</f>
        <v>615450270.1049035</v>
      </c>
      <c r="I10" s="18">
        <f>I6*Assumptions!B9</f>
        <v>636012433.0541741</v>
      </c>
      <c r="J10" s="18">
        <f>J6*Assumptions!B9</f>
        <v>654587160.3633006</v>
      </c>
      <c r="K10" s="18">
        <f>K6*Assumptions!B9</f>
        <v>670951839.372383</v>
      </c>
    </row>
    <row r="11" spans="1:11" x14ac:dyDescent="0.25">
      <c r="A11" t="s">
        <v>54</v>
      </c>
      <c r="B11" s="18">
        <f>-B6*B19</f>
        <v>-660302756.6432663</v>
      </c>
      <c r="C11" s="18">
        <f>-C6*C19</f>
        <v>-711994074.6339039</v>
      </c>
      <c r="D11" s="18">
        <f>-D6*D19</f>
        <v>-764428734.0594212</v>
      </c>
      <c r="E11" s="18">
        <f>-E6*E19</f>
        <v>-817190274.263794</v>
      </c>
      <c r="F11" s="18">
        <f>-F6*F19</f>
        <v>-869826873.6362208</v>
      </c>
      <c r="G11" s="18">
        <f>-G6*G19</f>
        <v>-921856831.25029</v>
      </c>
      <c r="H11" s="18">
        <f>-H6*H19</f>
        <v>-972775111.1322639</v>
      </c>
      <c r="I11" s="18">
        <f>-I6*I19</f>
        <v>-1022060851.0679383</v>
      </c>
      <c r="J11" s="18">
        <f>-J6*J19</f>
        <v>-1069185701.0015781</v>
      </c>
      <c r="K11" s="18">
        <f>-K6*K19</f>
        <v>-1113622821.3964238</v>
      </c>
    </row>
    <row r="12" spans="1:11" x14ac:dyDescent="0.25">
      <c r="A12" t="s">
        <v>55</v>
      </c>
      <c r="B12" s="18">
        <f>-(B6-Assumptions!B29)*Assumptions!B11</f>
        <v>-28889595.777341407</v>
      </c>
      <c r="C12" s="18">
        <f>-(C6-B6)*Assumptions!B11</f>
        <v>-36513456.563131236</v>
      </c>
      <c r="D12" s="18">
        <f>-(D6-C6)*Assumptions!B11</f>
        <v>-35882733.17293657</v>
      </c>
      <c r="E12" s="18">
        <f>-(E6-D6)*Assumptions!B11</f>
        <v>-34913252.28510835</v>
      </c>
      <c r="F12" s="18">
        <f>-(F6-E6)*Assumptions!B11</f>
        <v>-33597379.15645759</v>
      </c>
      <c r="G12" s="18">
        <f>-(G6-F6)*Assumptions!B11</f>
        <v>-31932857.627045657</v>
      </c>
      <c r="H12" s="18">
        <f>-(H6-G6)*Assumptions!B11</f>
        <v>-29923172.954719875</v>
      </c>
      <c r="I12" s="18">
        <f>-(I6-H6)*Assumptions!B11</f>
        <v>-27577791.071078785</v>
      </c>
      <c r="J12" s="18">
        <f>-(J6-I6)*Assumptions!B11</f>
        <v>-24912259.969787065</v>
      </c>
      <c r="K12" s="18">
        <f>-(K6-J6)*Assumptions!B11</f>
        <v>-21948162.73809139</v>
      </c>
    </row>
    <row r="13" spans="1:11" x14ac:dyDescent="0.25">
      <c r="A13" s="19" t="s">
        <v>56</v>
      </c>
      <c r="B13" s="20">
        <f>B9+B10+B11+B12</f>
        <v>776237388.5473756</v>
      </c>
      <c r="C13" s="20">
        <f>C9+C10+C11+C12</f>
        <v>802854718.5771625</v>
      </c>
      <c r="D13" s="20">
        <f>D9+D10+D11+D12</f>
        <v>835498916.863034</v>
      </c>
      <c r="E13" s="20">
        <f>E9+E10+E11+E12</f>
        <v>865873369.3434863</v>
      </c>
      <c r="F13" s="20">
        <f>F9+F10+F11+F12</f>
        <v>893622316.3648596</v>
      </c>
      <c r="G13" s="20">
        <f>G9+G10+G11+G12</f>
        <v>918409189.2515324</v>
      </c>
      <c r="H13" s="20">
        <f>H9+H10+H11+H12</f>
        <v>939923215.3293396</v>
      </c>
      <c r="I13" s="20">
        <f>I9+I10+I11+I12</f>
        <v>957885745.0653744</v>
      </c>
      <c r="J13" s="20">
        <f>J9+J10+J11+J12</f>
        <v>972056126.0954609</v>
      </c>
      <c r="K13" s="20">
        <f>K9+K10+K11+K12</f>
        <v>982236955.1089817</v>
      </c>
    </row>
    <row r="14" spans="1:11" x14ac:dyDescent="0.25">
      <c r="A14" t="s">
        <v>57</v>
      </c>
      <c r="B14" s="21">
        <f>1/(1+Assumptions!$B$26)^(1-0.5*Assumptions!$B$32)</f>
        <v>0.9614888109062874</v>
      </c>
      <c r="C14" s="21">
        <f>1/(1+Assumptions!$B$26)^(2-0.5*Assumptions!$B$32)</f>
        <v>0.8888586513805331</v>
      </c>
      <c r="D14" s="21">
        <f>1/(1+Assumptions!$B$26)^(3-0.5*Assumptions!$B$32)</f>
        <v>0.8217149208312784</v>
      </c>
      <c r="E14" s="21">
        <f>1/(1+Assumptions!$B$26)^(4-0.5*Assumptions!$B$32)</f>
        <v>0.7596431784379233</v>
      </c>
      <c r="F14" s="21">
        <f>1/(1+Assumptions!$B$26)^(5-0.5*Assumptions!$B$32)</f>
        <v>0.7022602899354643</v>
      </c>
      <c r="G14" s="21">
        <f>1/(1+Assumptions!$B$26)^(6-0.5*Assumptions!$B$32)</f>
        <v>0.6492120627402478</v>
      </c>
      <c r="H14" s="21">
        <f>1/(1+Assumptions!$B$26)^(7-0.5*Assumptions!$B$32)</f>
        <v>0.6001710597165902</v>
      </c>
      <c r="I14" s="21">
        <f>1/(1+Assumptions!$B$26)^(8-0.5*Assumptions!$B$32)</f>
        <v>0.5548345780898627</v>
      </c>
      <c r="J14" s="21">
        <f>1/(1+Assumptions!$B$26)^(9-0.5*Assumptions!$B$32)</f>
        <v>0.5129227810310002</v>
      </c>
      <c r="K14" s="21">
        <f>1/(1+Assumptions!$B$26)^(10-0.5*Assumptions!$B$32)</f>
        <v>0.4741769703797455</v>
      </c>
    </row>
    <row r="15" spans="1:11" x14ac:dyDescent="0.25">
      <c r="A15" s="19" t="s">
        <v>58</v>
      </c>
      <c r="B15" s="20">
        <f>B13*B14</f>
        <v>746343563.6954179</v>
      </c>
      <c r="C15" s="20">
        <f>C13*C14</f>
        <v>713624362.4089941</v>
      </c>
      <c r="D15" s="20">
        <f>D13*D14</f>
        <v>686541926.3247268</v>
      </c>
      <c r="E15" s="20">
        <f>E13*E14</f>
        <v>657754798.4128398</v>
      </c>
      <c r="F15" s="20">
        <f>F13*F14</f>
        <v>627555466.9831874</v>
      </c>
      <c r="G15" s="20">
        <f>G13*G14</f>
        <v>596242324.193586</v>
      </c>
      <c r="H15" s="20">
        <f>H13*H14</f>
        <v>564114712.1964346</v>
      </c>
      <c r="I15" s="20">
        <f>I13*I14</f>
        <v>531468133.22164077</v>
      </c>
      <c r="J15" s="20">
        <f>J13*J14</f>
        <v>498589731.5151044</v>
      </c>
      <c r="K15" s="20">
        <f>K13*K14</f>
        <v>465754143.56860304</v>
      </c>
    </row>
    <row r="17" spans="1:2" x14ac:dyDescent="0.25">
      <c r="A17" s="22" t="s">
        <v>59</v>
      </c>
      <c r="B17" s="23">
        <f>SUM(B15:K15)</f>
        <v>6087989162.5205345</v>
      </c>
    </row>
    <row r="19" spans="1:11" x14ac:dyDescent="0.25">
      <c r="A19" t="s">
        <v>7</v>
      </c>
      <c r="B19" s="9">
        <f>Assumptions!$B$10+($B$20-Assumptions!$B$10)*0/9</f>
        <v>0.09119005314201646</v>
      </c>
      <c r="C19" s="9">
        <f>Assumptions!$B$10+($B$20-Assumptions!$B$10)*1/9</f>
        <v>0.09288220562440117</v>
      </c>
      <c r="D19" s="9">
        <f>Assumptions!$B$10+($B$20-Assumptions!$B$10)*2/9</f>
        <v>0.09457435810678586</v>
      </c>
      <c r="E19" s="9">
        <f>Assumptions!$B$10+($B$20-Assumptions!$B$10)*3/9</f>
        <v>0.09626651058917056</v>
      </c>
      <c r="F19" s="9">
        <f>Assumptions!$B$10+($B$20-Assumptions!$B$10)*4/9</f>
        <v>0.09795866307155525</v>
      </c>
      <c r="G19" s="9">
        <f>Assumptions!$B$10+($B$20-Assumptions!$B$10)*5/9</f>
        <v>0.09965081555393995</v>
      </c>
      <c r="H19" s="9">
        <f>Assumptions!$B$10+($B$20-Assumptions!$B$10)*6/9</f>
        <v>0.10134296803632464</v>
      </c>
      <c r="I19" s="9">
        <f>Assumptions!$B$10+($B$20-Assumptions!$B$10)*7/9</f>
        <v>0.10303512051870935</v>
      </c>
      <c r="J19" s="9">
        <f>Assumptions!$B$10+($B$20-Assumptions!$B$10)*8/9</f>
        <v>0.10472727300109404</v>
      </c>
      <c r="K19" s="9">
        <f>Assumptions!$B$10+($B$20-Assumptions!$B$10)*9/9</f>
        <v>0.10641942548347874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0.10641942548347874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982236955.1089817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1446856099.8711138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0.30595370338727806</v>
      </c>
    </row>
    <row r="7" spans="1:2" x14ac:dyDescent="0.25">
      <c r="A7" t="s">
        <v>66</v>
      </c>
      <c r="B7" s="18">
        <f>-MAX(B5,0)*B6</f>
        <v>-442670982.0240407</v>
      </c>
    </row>
    <row r="8" spans="1:2" x14ac:dyDescent="0.25">
      <c r="A8" t="s">
        <v>67</v>
      </c>
      <c r="B8" s="18">
        <f>IF(OR(Assumptions!$B$33=0,Assumptions!B12&lt;=0),B5,MAX(B5+B7,0))</f>
        <v>1004185117.8470731</v>
      </c>
    </row>
    <row r="9" spans="1:2" x14ac:dyDescent="0.25">
      <c r="A9" t="s">
        <v>68</v>
      </c>
      <c r="B9" s="18">
        <f>B8*(1+Assumptions!B12)/(Assumptions!B26-Assumptions!B12)</f>
        <v>18149510262.98567</v>
      </c>
    </row>
    <row r="10" spans="1:2" x14ac:dyDescent="0.25">
      <c r="A10" t="s">
        <v>69</v>
      </c>
      <c r="B10" s="18">
        <f>B9/(1+Assumptions!B26)^(10-0.5*Assumptions!B32)</f>
        <v>8606079790.378641</v>
      </c>
    </row>
    <row r="11" spans="1:2" x14ac:dyDescent="0.25">
      <c r="A11" t="s">
        <v>70</v>
      </c>
      <c r="B11" s="18">
        <f>Forecast!B17+B10</f>
        <v>14694068952.899176</v>
      </c>
    </row>
    <row r="12" spans="1:2" x14ac:dyDescent="0.25">
      <c r="A12" t="s">
        <v>71</v>
      </c>
      <c r="B12" s="18">
        <f>-Assumptions!B30</f>
        <v>-5133000000</v>
      </c>
    </row>
    <row r="13" spans="1:2" x14ac:dyDescent="0.25">
      <c r="A13" t="s">
        <v>72</v>
      </c>
      <c r="B13" s="18">
        <f>B11+B12</f>
        <v>9561068952.899176</v>
      </c>
    </row>
    <row r="14" spans="1:2" x14ac:dyDescent="0.25">
      <c r="A14" s="19" t="s">
        <v>73</v>
      </c>
      <c r="B14" s="24">
        <f>B13/Assumptions!B31</f>
        <v>13.213799071681235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2286809009.311875</v>
      </c>
    </row>
    <row r="18" spans="1:2" x14ac:dyDescent="0.25">
      <c r="A18" t="s">
        <v>68</v>
      </c>
      <c r="B18" s="18">
        <f>B17*Assumptions!B13</f>
        <v>45736180186.237495</v>
      </c>
    </row>
    <row r="19" spans="1:2" x14ac:dyDescent="0.25">
      <c r="A19" t="s">
        <v>69</v>
      </c>
      <c r="B19" s="18">
        <f>B18/(1+Assumptions!B26)^(10-0.5*Assumptions!B32)</f>
        <v>21687043357.45224</v>
      </c>
    </row>
    <row r="20" spans="1:2" x14ac:dyDescent="0.25">
      <c r="A20" t="s">
        <v>70</v>
      </c>
      <c r="B20" s="18">
        <f>Forecast!B17+B19</f>
        <v>27775032519.972775</v>
      </c>
    </row>
    <row r="21" spans="1:2" x14ac:dyDescent="0.25">
      <c r="A21" t="s">
        <v>71</v>
      </c>
      <c r="B21" s="18">
        <f>-Assumptions!B30</f>
        <v>-5133000000</v>
      </c>
    </row>
    <row r="22" spans="1:2" x14ac:dyDescent="0.25">
      <c r="A22" t="s">
        <v>72</v>
      </c>
      <c r="B22" s="18">
        <f>B20+B21</f>
        <v>22642032519.972775</v>
      </c>
    </row>
    <row r="23" spans="1:2" x14ac:dyDescent="0.25">
      <c r="A23" s="19" t="s">
        <v>73</v>
      </c>
      <c r="B23" s="25">
        <f>B22/Assumptions!B31</f>
        <v>31.292240414464416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20.35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13.213799071681235</v>
      </c>
    </row>
    <row r="29" spans="1:2" x14ac:dyDescent="0.25">
      <c r="A29" s="19" t="s">
        <v>81</v>
      </c>
      <c r="B29" s="11">
        <f>B28/B26-1</f>
        <v>-0.35067326429084844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0.061712</v>
      </c>
      <c r="B5" s="31">
        <v>21.08760813497976</v>
      </c>
      <c r="C5" s="31">
        <v>20.68436792491051</v>
      </c>
      <c r="D5" s="31">
        <v>20.281127714841247</v>
      </c>
      <c r="E5" s="31">
        <v>19.87788750477199</v>
      </c>
      <c r="F5" s="31">
        <v>19.47464729470273</v>
      </c>
    </row>
    <row r="6" spans="1:6" x14ac:dyDescent="0.25">
      <c r="A6" s="30">
        <v>0.071712</v>
      </c>
      <c r="B6" s="31">
        <v>16.90191005324458</v>
      </c>
      <c r="C6" s="31">
        <v>16.574079019561278</v>
      </c>
      <c r="D6" s="31">
        <v>16.24624798587797</v>
      </c>
      <c r="E6" s="31">
        <v>15.918416952194672</v>
      </c>
      <c r="F6" s="31">
        <v>15.590585918511366</v>
      </c>
    </row>
    <row r="7" spans="1:6" x14ac:dyDescent="0.25">
      <c r="A7" s="30">
        <v>0.081712</v>
      </c>
      <c r="B7" s="31">
        <v>13.75781573443112</v>
      </c>
      <c r="C7" s="31">
        <v>13.485768790631429</v>
      </c>
      <c r="D7" s="32">
        <v>13.213721846831733</v>
      </c>
      <c r="E7" s="31">
        <v>12.94167490303204</v>
      </c>
      <c r="F7" s="31">
        <v>12.669627959232342</v>
      </c>
    </row>
    <row r="8" spans="1:6" x14ac:dyDescent="0.25">
      <c r="A8" s="30">
        <v>0.091712</v>
      </c>
      <c r="B8" s="31">
        <v>11.313435578369303</v>
      </c>
      <c r="C8" s="31">
        <v>11.084051289197223</v>
      </c>
      <c r="D8" s="31">
        <v>10.854667000025142</v>
      </c>
      <c r="E8" s="31">
        <v>10.625282710853066</v>
      </c>
      <c r="F8" s="31">
        <v>10.395898421680982</v>
      </c>
    </row>
    <row r="9" spans="1:6" x14ac:dyDescent="0.25">
      <c r="A9" s="30">
        <v>0.101712</v>
      </c>
      <c r="B9" s="31">
        <v>9.361427081399013</v>
      </c>
      <c r="C9" s="31">
        <v>9.165523097562444</v>
      </c>
      <c r="D9" s="31">
        <v>8.969619113725877</v>
      </c>
      <c r="E9" s="31">
        <v>8.773715129889311</v>
      </c>
      <c r="F9" s="31">
        <v>8.577811146052738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6905000000</v>
      </c>
      <c r="C5" s="18">
        <v>7124000000</v>
      </c>
      <c r="D5" s="18">
        <v>7674000000</v>
      </c>
      <c r="E5" s="18">
        <v>10184000000</v>
      </c>
      <c r="F5" s="6" t="s">
        <v>91</v>
      </c>
    </row>
    <row r="6" spans="1:6" x14ac:dyDescent="0.25">
      <c r="A6" t="s">
        <v>51</v>
      </c>
      <c r="B6" s="18">
        <v>447000000</v>
      </c>
      <c r="C6" s="18">
        <v>724000000</v>
      </c>
      <c r="D6" s="18">
        <v>1128000000</v>
      </c>
      <c r="E6" s="18">
        <v>3099000000</v>
      </c>
      <c r="F6" s="6" t="s">
        <v>92</v>
      </c>
    </row>
    <row r="7" spans="1:6" x14ac:dyDescent="0.25">
      <c r="A7" t="s">
        <v>93</v>
      </c>
      <c r="B7" s="18">
        <v>509000000</v>
      </c>
      <c r="C7" s="18">
        <v>502000000</v>
      </c>
      <c r="D7" s="18">
        <v>500000000</v>
      </c>
      <c r="E7" s="18">
        <v>480000000</v>
      </c>
      <c r="F7" s="6" t="s">
        <v>94</v>
      </c>
    </row>
    <row r="8" spans="1:6" x14ac:dyDescent="0.25">
      <c r="A8" t="s">
        <v>95</v>
      </c>
      <c r="B8" s="18">
        <v>943000000</v>
      </c>
      <c r="C8" s="18">
        <v>667000000</v>
      </c>
      <c r="D8" s="18">
        <v>680000000</v>
      </c>
      <c r="E8" s="18">
        <v>468000000</v>
      </c>
      <c r="F8" s="6" t="s">
        <v>96</v>
      </c>
    </row>
    <row r="9" spans="1:6" x14ac:dyDescent="0.25">
      <c r="A9" t="s">
        <v>97</v>
      </c>
      <c r="B9" s="18">
        <v>-16000000</v>
      </c>
      <c r="C9" s="18">
        <v>15000000</v>
      </c>
      <c r="D9" s="18">
        <v>-54000000</v>
      </c>
      <c r="E9" s="18">
        <v>112000000</v>
      </c>
      <c r="F9" s="6" t="s">
        <v>98</v>
      </c>
    </row>
    <row r="10" spans="1:6" x14ac:dyDescent="0.25">
      <c r="A10" t="s">
        <v>99</v>
      </c>
      <c r="B10" s="18">
        <v>5597000000</v>
      </c>
      <c r="C10" s="18">
        <v>5105000000</v>
      </c>
      <c r="D10" s="18">
        <v>5088000000</v>
      </c>
      <c r="E10" s="18">
        <v>5075000000</v>
      </c>
      <c r="F10" s="6" t="s">
        <v>100</v>
      </c>
    </row>
    <row r="11" spans="1:6" x14ac:dyDescent="0.25">
      <c r="A11" t="s">
        <v>101</v>
      </c>
      <c r="B11" s="18">
        <v>464000000</v>
      </c>
      <c r="C11" s="18">
        <v>684000000</v>
      </c>
      <c r="D11" s="18">
        <v>1164000000</v>
      </c>
      <c r="E11" s="18">
        <v>1581000000</v>
      </c>
      <c r="F11" s="6" t="s">
        <v>102</v>
      </c>
    </row>
    <row r="12" spans="1:6" x14ac:dyDescent="0.25">
      <c r="A12" t="s">
        <v>34</v>
      </c>
      <c r="B12" s="34">
        <v>723567000</v>
      </c>
      <c r="C12" s="34">
        <v>728957000</v>
      </c>
      <c r="D12" s="34">
        <v>732222000</v>
      </c>
      <c r="E12" s="34">
        <v>742953000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