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<sst xmlns="http://schemas.openxmlformats.org/spreadsheetml/2006/main" count="119" uniqueCount="106">
  <si>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Wynn Resorts, Limited (WYNN)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</si>
  <si>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</si>
  <si>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</si>
  <si>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</si>
  <si>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</si>
  <si>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</si>
  <si>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</si>
  <si>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</si>
  <si>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</si>
  <si>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</si>
  <si>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</si>
  <si>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</si>
  <si>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</si>
  <si>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</si>
  <si>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</si>
  <si>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</si>
  <si>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</si>
  <si>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</si>
  <si>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</si>
  <si>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</si>
  <si>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</si>
  <si>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</si>
  <si>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</si>
  <si>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</si>
  <si>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B+ rating at 1.9x interest cover, capped at 200bp because one year's cover is too noisy to charge more.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</si>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</sst>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0.038501562919414756</v>
      </c>
    </row>
    <row r="7" spans="1:2" x14ac:dyDescent="0.25">
      <c r="A7" t="s">
        <v>4</v>
      </c>
      <c r="B7" s="5">
        <v>0.12109852823181622</v>
      </c>
    </row>
    <row r="8" spans="1:2" x14ac:dyDescent="0.25">
      <c r="A8" t="s">
        <v>5</v>
      </c>
      <c r="B8" s="5">
        <v>0.10497849804207804</v>
      </c>
    </row>
    <row r="9" spans="1:2" x14ac:dyDescent="0.25">
      <c r="A9" t="s">
        <v>6</v>
      </c>
      <c r="B9" s="5">
        <v>0.11722175109821883</v>
      </c>
    </row>
    <row r="10" spans="1:3" x14ac:dyDescent="0.25">
      <c r="A10" t="s">
        <v>7</v>
      </c>
      <c r="B10" s="5">
        <v>0.07610964428662999</v>
      </c>
      <c r="C10" s="6" t="s">
        <v>8</v>
      </c>
    </row>
    <row r="11" spans="1:2" x14ac:dyDescent="0.25">
      <c r="A11" t="s">
        <v>9</v>
      </c>
      <c r="B11" s="5">
        <v>0.029652676966409667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9.910472516322521</v>
      </c>
    </row>
    <row r="14" spans="1:3" x14ac:dyDescent="0.25">
      <c r="A14" t="s">
        <v>12</v>
      </c>
      <c r="B14" s="5">
        <v>0.1051403577337599</v>
      </c>
      <c r="C14" s="6" t="s">
        <v>13</v>
      </c>
    </row>
    <row r="15" spans="1:3" x14ac:dyDescent="0.25">
      <c r="A15" t="s">
        <v>14</v>
      </c>
      <c r="B15" s="5">
        <v>0.11722175109821883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0.96315</v>
      </c>
      <c r="C19" s="6" t="s">
        <v>21</v>
      </c>
    </row>
    <row r="20" spans="1:2" x14ac:dyDescent="0.25">
      <c r="A20" t="s">
        <v>22</v>
      </c>
      <c r="B20" s="9">
        <f>B17+B19*B18</f>
        <v>0.08968124499999999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7997981696</v>
      </c>
    </row>
    <row r="23" spans="1:2" x14ac:dyDescent="0.25">
      <c r="A23" t="s">
        <v>26</v>
      </c>
      <c r="B23" s="10">
        <v>12175929000</v>
      </c>
    </row>
    <row r="24" spans="1:2" x14ac:dyDescent="0.25">
      <c r="A24" t="s">
        <v>27</v>
      </c>
      <c r="B24" s="9">
        <f>B22/(B22+B23)</f>
        <v>0.3964517250284947</v>
      </c>
    </row>
    <row r="25" spans="1:2" x14ac:dyDescent="0.25">
      <c r="A25" t="s">
        <v>28</v>
      </c>
      <c r="B25" s="9">
        <f>1-B24</f>
        <v>0.6035482749715053</v>
      </c>
    </row>
    <row r="26" spans="1:2" x14ac:dyDescent="0.25">
      <c r="A26" t="s">
        <v>29</v>
      </c>
      <c r="B26" s="11">
        <f>B24*B20+B25*B21*(1-B8)</f>
        <v>0.07279489212820747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7137924000</v>
      </c>
      <c r="C29" s="6" t="s">
        <v>32</v>
      </c>
    </row>
    <row r="30" spans="1:2" x14ac:dyDescent="0.25">
      <c r="A30" t="s">
        <v>33</v>
      </c>
      <c r="B30" s="10">
        <v>10110731000</v>
      </c>
    </row>
    <row r="31" spans="1:2" x14ac:dyDescent="0.25">
      <c r="A31" t="s">
        <v>34</v>
      </c>
      <c r="B31" s="12">
        <v>104243000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0.038501562919414756</v>
      </c>
      <c r="C5" s="5">
        <v>0.03213012488761868</v>
      </c>
      <c r="D5" s="5">
        <v>0.031238859276666347</v>
      </c>
      <c r="E5" s="5">
        <v>0.03034759366571401</v>
      </c>
      <c r="F5" s="5">
        <v>0.029456328054761678</v>
      </c>
      <c r="G5" s="5">
        <v>0.028565062443809342</v>
      </c>
      <c r="H5" s="5">
        <v>0.027673796832857006</v>
      </c>
      <c r="I5" s="5">
        <v>0.026782531221904674</v>
      </c>
      <c r="J5" s="5">
        <v>0.025891265610952337</v>
      </c>
      <c r="K5" s="5">
        <v>0.025</v>
      </c>
    </row>
    <row r="6" spans="1:11" x14ac:dyDescent="0.25">
      <c r="A6" t="s">
        <v>50</v>
      </c>
      <c r="B6" s="18">
        <f>Assumptions!B29*(1+B5)</f>
        <v>7412745230.000001</v>
      </c>
      <c r="C6" s="18">
        <f>B6*(1+C5)</f>
        <v>7650917660.000001</v>
      </c>
      <c r="D6" s="18">
        <f>C6*(1+D5)</f>
        <v>7889923600.118102</v>
      </c>
      <c r="E6" s="18">
        <f>D6*(1+E5)</f>
        <v>8129363795.588014</v>
      </c>
      <c r="F6" s="18">
        <f>E6*(1+F5)</f>
        <v>8368825002.427357</v>
      </c>
      <c r="G6" s="18">
        <f>F6*(1+G5)</f>
        <v>8607881011.203007</v>
      </c>
      <c r="H6" s="18">
        <f>G6*(1+H5)</f>
        <v>8846093761.468447</v>
      </c>
      <c r="I6" s="18">
        <f>H6*(1+I5)</f>
        <v>9083014543.826872</v>
      </c>
      <c r="J6" s="18">
        <f>I6*(1+J5)</f>
        <v>9318185285.929235</v>
      </c>
      <c r="K6" s="18">
        <f>J6*(1+K5)</f>
        <v>9551139918.077465</v>
      </c>
    </row>
    <row r="7" spans="1:11" x14ac:dyDescent="0.25">
      <c r="A7" t="s">
        <v>4</v>
      </c>
      <c r="B7" s="9">
        <f>Assumptions!B7</f>
        <v>0.12109852823181622</v>
      </c>
      <c r="C7" s="9">
        <f>Assumptions!B7</f>
        <v>0.12109852823181622</v>
      </c>
      <c r="D7" s="9">
        <f>Assumptions!B7</f>
        <v>0.12109852823181622</v>
      </c>
      <c r="E7" s="9">
        <f>Assumptions!B7</f>
        <v>0.12109852823181622</v>
      </c>
      <c r="F7" s="9">
        <f>Assumptions!B7</f>
        <v>0.12109852823181622</v>
      </c>
      <c r="G7" s="9">
        <f>Assumptions!B7</f>
        <v>0.12109852823181622</v>
      </c>
      <c r="H7" s="9">
        <f>Assumptions!B7</f>
        <v>0.12109852823181622</v>
      </c>
      <c r="I7" s="9">
        <f>Assumptions!B7</f>
        <v>0.12109852823181622</v>
      </c>
      <c r="J7" s="9">
        <f>Assumptions!B7</f>
        <v>0.12109852823181622</v>
      </c>
      <c r="K7" s="9">
        <f>Assumptions!B7</f>
        <v>0.12109852823181622</v>
      </c>
    </row>
    <row r="8" spans="1:11" x14ac:dyDescent="0.25">
      <c r="A8" t="s">
        <v>51</v>
      </c>
      <c r="B8" s="18">
        <f>B6*B7</f>
        <v>897672537.5104162</v>
      </c>
      <c r="C8" s="18">
        <f>C6*C7</f>
        <v>926514868.2488114</v>
      </c>
      <c r="D8" s="18">
        <f>D6*D7</f>
        <v>955458135.835775</v>
      </c>
      <c r="E8" s="18">
        <f>E6*E7</f>
        <v>984453991.1067197</v>
      </c>
      <c r="F8" s="18">
        <f>F6*F7</f>
        <v>1013452390.8235787</v>
      </c>
      <c r="G8" s="18">
        <f>G6*G7</f>
        <v>1042401721.6512821</v>
      </c>
      <c r="H8" s="18">
        <f>H6*H7</f>
        <v>1071248935.11448</v>
      </c>
      <c r="I8" s="18">
        <f>I6*I7</f>
        <v>1099939693.1656158</v>
      </c>
      <c r="J8" s="18">
        <f>J6*J7</f>
        <v>1128418523.917396</v>
      </c>
      <c r="K8" s="18">
        <f>K6*K7</f>
        <v>1156628987.0153308</v>
      </c>
    </row>
    <row r="9" spans="1:11" x14ac:dyDescent="0.25">
      <c r="A9" t="s">
        <v>52</v>
      </c>
      <c r="B9" s="18">
        <f>B8*(1-Assumptions!B8)</f>
        <v>803436222.7889518</v>
      </c>
      <c r="C9" s="18">
        <f>C8*(1-Assumptions!B8)</f>
        <v>829250728.9663973</v>
      </c>
      <c r="D9" s="18">
        <f>D8*(1-Assumptions!B8)</f>
        <v>855155575.7936516</v>
      </c>
      <c r="E9" s="18">
        <f>E8*(1-Assumptions!B8)</f>
        <v>881107489.7288071</v>
      </c>
      <c r="F9" s="18">
        <f>F8*(1-Assumptions!B8)</f>
        <v>907061680.9977664</v>
      </c>
      <c r="G9" s="18">
        <f>G8*(1-Assumptions!B8)</f>
        <v>932971954.5558542</v>
      </c>
      <c r="H9" s="18">
        <f>H8*(1-Assumptions!B8)</f>
        <v>958790830.8769864</v>
      </c>
      <c r="I9" s="18">
        <f>I8*(1-Assumptions!B8)</f>
        <v>984469676.2402253</v>
      </c>
      <c r="J9" s="18">
        <f>J8*(1-Assumptions!B8)</f>
        <v>1009958842.1136891</v>
      </c>
      <c r="K9" s="18">
        <f>K8*(1-Assumptions!B8)</f>
        <v>1035207813.1665312</v>
      </c>
    </row>
    <row r="10" spans="1:11" x14ac:dyDescent="0.25">
      <c r="A10" t="s">
        <v>53</v>
      </c>
      <c r="B10" s="18">
        <f>B6*Assumptions!B9</f>
        <v>868934976.305569</v>
      </c>
      <c r="C10" s="18">
        <f>C6*Assumptions!B9</f>
        <v>896853965.613487</v>
      </c>
      <c r="D10" s="18">
        <f>D6*Assumptions!B9</f>
        <v>924870660.4370068</v>
      </c>
      <c r="E10" s="18">
        <f>E6*Assumptions!B9</f>
        <v>952938259.4332896</v>
      </c>
      <c r="F10" s="18">
        <f>F6*Assumptions!B9</f>
        <v>981008321.4190903</v>
      </c>
      <c r="G10" s="18">
        <f>G6*Assumptions!B9</f>
        <v>1009030885.3783231</v>
      </c>
      <c r="H10" s="18">
        <f>H6*Assumptions!B9</f>
        <v>1036954601.0983607</v>
      </c>
      <c r="I10" s="18">
        <f>I6*Assumptions!B9</f>
        <v>1064726870.0779753</v>
      </c>
      <c r="J10" s="18">
        <f>J6*Assumptions!B9</f>
        <v>1092293996.274282</v>
      </c>
      <c r="K10" s="18">
        <f>K6*Assumptions!B9</f>
        <v>1119601346.1811388</v>
      </c>
    </row>
    <row r="11" spans="1:11" x14ac:dyDescent="0.25">
      <c r="A11" t="s">
        <v>54</v>
      </c>
      <c r="B11" s="18">
        <f>-B6*B19</f>
        <v>-564181402.6427133</v>
      </c>
      <c r="C11" s="18">
        <f>-C6*C19</f>
        <v>-639166668.1524051</v>
      </c>
      <c r="D11" s="18">
        <f>-D6*D19</f>
        <v>-717767732.8526318</v>
      </c>
      <c r="E11" s="18">
        <f>-E6*E19</f>
        <v>-799963891.1540003</v>
      </c>
      <c r="F11" s="18">
        <f>-F6*F19</f>
        <v>-885721088.6077944</v>
      </c>
      <c r="G11" s="18">
        <f>-G6*G19</f>
        <v>-974991518.0585192</v>
      </c>
      <c r="H11" s="18">
        <f>-H6*H19</f>
        <v>-1067713272.3893274</v>
      </c>
      <c r="I11" s="18">
        <f>-I6*I19</f>
        <v>-1163810058.1868343</v>
      </c>
      <c r="J11" s="18">
        <f>-J6*J19</f>
        <v>-1263190974.3833423</v>
      </c>
      <c r="K11" s="18">
        <f>-K6*K19</f>
        <v>-1365750359.623703</v>
      </c>
    </row>
    <row r="12" spans="1:11" x14ac:dyDescent="0.25">
      <c r="A12" t="s">
        <v>55</v>
      </c>
      <c r="B12" s="18">
        <f>-(B6-Assumptions!B29)*Assumptions!B11</f>
        <v>-8149185.156701402</v>
      </c>
      <c r="C12" s="18">
        <f>-(C6-B6)*Assumptions!B11</f>
        <v>-7062450.129094819</v>
      </c>
      <c r="D12" s="18">
        <f>-(D6-C6)*Assumptions!B11</f>
        <v>-7087165.935375106</v>
      </c>
      <c r="E12" s="18">
        <f>-(E6-D6)*Assumptions!B11</f>
        <v>-7100042.769043275</v>
      </c>
      <c r="F12" s="18">
        <f>-(F6-E6)*Assumptions!B11</f>
        <v>-7100665.8123936495</v>
      </c>
      <c r="G12" s="18">
        <f>-(G6-F6)*Assumptions!B11</f>
        <v>-7088650.605103545</v>
      </c>
      <c r="H12" s="18">
        <f>-(H6-G6)*Assumptions!B11</f>
        <v>-7063645.73290111</v>
      </c>
      <c r="I12" s="18">
        <f>-(I6-H6)*Assumptions!B11</f>
        <v>-7025335.425903431</v>
      </c>
      <c r="J12" s="18">
        <f>-(J6-I6)*Assumptions!B11</f>
        <v>-6973442.047512225</v>
      </c>
      <c r="K12" s="18">
        <f>-(K6-J6)*Assumptions!B11</f>
        <v>-6907728.454920244</v>
      </c>
    </row>
    <row r="13" spans="1:11" x14ac:dyDescent="0.25">
      <c r="A13" s="19" t="s">
        <v>56</v>
      </c>
      <c r="B13" s="20">
        <f>B9+B10+B11+B12</f>
        <v>1100040611.2951062</v>
      </c>
      <c r="C13" s="20">
        <f>C9+C10+C11+C12</f>
        <v>1079875576.2983844</v>
      </c>
      <c r="D13" s="20">
        <f>D9+D10+D11+D12</f>
        <v>1055171337.4426516</v>
      </c>
      <c r="E13" s="20">
        <f>E9+E10+E11+E12</f>
        <v>1026981815.2390531</v>
      </c>
      <c r="F13" s="20">
        <f>F9+F10+F11+F12</f>
        <v>995248247.9966687</v>
      </c>
      <c r="G13" s="20">
        <f>G9+G10+G11+G12</f>
        <v>959922671.2705547</v>
      </c>
      <c r="H13" s="20">
        <f>H9+H10+H11+H12</f>
        <v>920968513.8531185</v>
      </c>
      <c r="I13" s="20">
        <f>I9+I10+I11+I12</f>
        <v>878361152.7054628</v>
      </c>
      <c r="J13" s="20">
        <f>J9+J10+J11+J12</f>
        <v>832088421.9571165</v>
      </c>
      <c r="K13" s="20">
        <f>K9+K10+K11+K12</f>
        <v>782151071.2690468</v>
      </c>
    </row>
    <row r="14" spans="1:11" x14ac:dyDescent="0.25">
      <c r="A14" t="s">
        <v>57</v>
      </c>
      <c r="B14" s="21">
        <f>1/(1+Assumptions!$B$26)^(1-0.5*Assumptions!$B$32)</f>
        <v>0.9654763757136764</v>
      </c>
      <c r="C14" s="21">
        <f>1/(1+Assumptions!$B$26)^(2-0.5*Assumptions!$B$32)</f>
        <v>0.8999636210034212</v>
      </c>
      <c r="D14" s="21">
        <f>1/(1+Assumptions!$B$26)^(3-0.5*Assumptions!$B$32)</f>
        <v>0.8388962583687137</v>
      </c>
      <c r="E14" s="21">
        <f>1/(1+Assumptions!$B$26)^(4-0.5*Assumptions!$B$32)</f>
        <v>0.7819726440946355</v>
      </c>
      <c r="F14" s="21">
        <f>1/(1+Assumptions!$B$26)^(5-0.5*Assumptions!$B$32)</f>
        <v>0.7289116026115303</v>
      </c>
      <c r="G14" s="21">
        <f>1/(1+Assumptions!$B$26)^(6-0.5*Assumptions!$B$32)</f>
        <v>0.6794510376214763</v>
      </c>
      <c r="H14" s="21">
        <f>1/(1+Assumptions!$B$26)^(7-0.5*Assumptions!$B$32)</f>
        <v>0.6333466374672825</v>
      </c>
      <c r="I14" s="21">
        <f>1/(1+Assumptions!$B$26)^(8-0.5*Assumptions!$B$32)</f>
        <v>0.5903706683491484</v>
      </c>
      <c r="J14" s="21">
        <f>1/(1+Assumptions!$B$26)^(9-0.5*Assumptions!$B$32)</f>
        <v>0.5503108494280512</v>
      </c>
      <c r="K14" s="21">
        <f>1/(1+Assumptions!$B$26)^(10-0.5*Assumptions!$B$32)</f>
        <v>0.512969304259406</v>
      </c>
    </row>
    <row r="15" spans="1:11" x14ac:dyDescent="0.25">
      <c r="A15" s="19" t="s">
        <v>58</v>
      </c>
      <c r="B15" s="20">
        <f>B13*B14</f>
        <v>1062063222.5310562</v>
      </c>
      <c r="C15" s="20">
        <f>C13*C14</f>
        <v>971848733.8786503</v>
      </c>
      <c r="D15" s="20">
        <f>D13*D14</f>
        <v>885179286.9185519</v>
      </c>
      <c r="E15" s="20">
        <f>E13*E14</f>
        <v>803071685.4995909</v>
      </c>
      <c r="F15" s="20">
        <f>F13*F14</f>
        <v>725447995.4435695</v>
      </c>
      <c r="G15" s="20">
        <f>G13*G14</f>
        <v>652220455.0311576</v>
      </c>
      <c r="H15" s="20">
        <f>H13*H14</f>
        <v>583292311.462113</v>
      </c>
      <c r="I15" s="20">
        <f>I13*I14</f>
        <v>518558660.7746525</v>
      </c>
      <c r="J15" s="20">
        <f>J13*J14</f>
        <v>457907286.28646743</v>
      </c>
      <c r="K15" s="20">
        <f>K13*K14</f>
        <v>401219490.854632</v>
      </c>
    </row>
    <row r="17" spans="1:2" x14ac:dyDescent="0.25">
      <c r="A17" s="22" t="s">
        <v>59</v>
      </c>
      <c r="B17" s="23">
        <f>SUM(B15:K15)</f>
        <v>7060809128.680442</v>
      </c>
    </row>
    <row r="19" spans="1:11" x14ac:dyDescent="0.25">
      <c r="A19" t="s">
        <v>7</v>
      </c>
      <c r="B19" s="9">
        <f>Assumptions!$B$10+($B$20-Assumptions!$B$10)*0/9</f>
        <v>0.07610964428662999</v>
      </c>
      <c r="C19" s="9">
        <f>Assumptions!$B$10+($B$20-Assumptions!$B$10)*1/9</f>
        <v>0.08354117722296923</v>
      </c>
      <c r="D19" s="9">
        <f>Assumptions!$B$10+($B$20-Assumptions!$B$10)*2/9</f>
        <v>0.09097271015930848</v>
      </c>
      <c r="E19" s="9">
        <f>Assumptions!$B$10+($B$20-Assumptions!$B$10)*3/9</f>
        <v>0.09840424309564771</v>
      </c>
      <c r="F19" s="9">
        <f>Assumptions!$B$10+($B$20-Assumptions!$B$10)*4/9</f>
        <v>0.10583577603198696</v>
      </c>
      <c r="G19" s="9">
        <f>Assumptions!$B$10+($B$20-Assumptions!$B$10)*5/9</f>
        <v>0.11326730896832621</v>
      </c>
      <c r="H19" s="9">
        <f>Assumptions!$B$10+($B$20-Assumptions!$B$10)*6/9</f>
        <v>0.12069884190466545</v>
      </c>
      <c r="I19" s="9">
        <f>Assumptions!$B$10+($B$20-Assumptions!$B$10)*7/9</f>
        <v>0.1281303748410047</v>
      </c>
      <c r="J19" s="9">
        <f>Assumptions!$B$10+($B$20-Assumptions!$B$10)*8/9</f>
        <v>0.13556190777734395</v>
      </c>
      <c r="K19" s="9">
        <f>Assumptions!$B$10+($B$20-Assumptions!$B$10)*9/9</f>
        <v>0.1429934407136832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0.1429934407136832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782151071.2690468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1035207813.1665312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0.23777739146851562</v>
      </c>
    </row>
    <row r="7" spans="1:2" x14ac:dyDescent="0.25">
      <c r="A7" t="s">
        <v>66</v>
      </c>
      <c r="B7" s="18">
        <f>-MAX(B5,0)*B6</f>
        <v>-246149013.44256428</v>
      </c>
    </row>
    <row r="8" spans="1:2" x14ac:dyDescent="0.25">
      <c r="A8" t="s">
        <v>67</v>
      </c>
      <c r="B8" s="18">
        <f>IF(OR(Assumptions!$B$33=0,Assumptions!B12&lt;=0),B5,MAX(B5+B7,0))</f>
        <v>789058799.723967</v>
      </c>
    </row>
    <row r="9" spans="1:2" x14ac:dyDescent="0.25">
      <c r="A9" t="s">
        <v>68</v>
      </c>
      <c r="B9" s="18">
        <f>B8*(1+Assumptions!B12)/(Assumptions!B26-Assumptions!B12)</f>
        <v>16922002199.472256</v>
      </c>
    </row>
    <row r="10" spans="1:2" x14ac:dyDescent="0.25">
      <c r="A10" t="s">
        <v>69</v>
      </c>
      <c r="B10" s="18">
        <f>B9/(1+Assumptions!B26)^(10-0.5*Assumptions!B32)</f>
        <v>8680467694.93942</v>
      </c>
    </row>
    <row r="11" spans="1:2" x14ac:dyDescent="0.25">
      <c r="A11" t="s">
        <v>70</v>
      </c>
      <c r="B11" s="18">
        <f>Forecast!B17+B10</f>
        <v>15741276823.619862</v>
      </c>
    </row>
    <row r="12" spans="1:2" x14ac:dyDescent="0.25">
      <c r="A12" t="s">
        <v>71</v>
      </c>
      <c r="B12" s="18">
        <f>-Assumptions!B30</f>
        <v>-10110731000</v>
      </c>
    </row>
    <row r="13" spans="1:2" x14ac:dyDescent="0.25">
      <c r="A13" t="s">
        <v>72</v>
      </c>
      <c r="B13" s="18">
        <f>B11+B12</f>
        <v>5630545823.619862</v>
      </c>
    </row>
    <row r="14" spans="1:2" x14ac:dyDescent="0.25">
      <c r="A14" s="19" t="s">
        <v>73</v>
      </c>
      <c r="B14" s="24">
        <f>B13/Assumptions!B31</f>
        <v>54.01365869765703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2276230333.1964693</v>
      </c>
    </row>
    <row r="18" spans="1:2" x14ac:dyDescent="0.25">
      <c r="A18" t="s">
        <v>68</v>
      </c>
      <c r="B18" s="18">
        <f>B17*Assumptions!B13</f>
        <v>22558518157.963264</v>
      </c>
    </row>
    <row r="19" spans="1:2" x14ac:dyDescent="0.25">
      <c r="A19" t="s">
        <v>69</v>
      </c>
      <c r="B19" s="18">
        <f>B18/(1+Assumptions!B26)^(10-0.5*Assumptions!B32)</f>
        <v>11571827364.613592</v>
      </c>
    </row>
    <row r="20" spans="1:2" x14ac:dyDescent="0.25">
      <c r="A20" t="s">
        <v>70</v>
      </c>
      <c r="B20" s="18">
        <f>Forecast!B17+B19</f>
        <v>18632636493.294033</v>
      </c>
    </row>
    <row r="21" spans="1:2" x14ac:dyDescent="0.25">
      <c r="A21" t="s">
        <v>71</v>
      </c>
      <c r="B21" s="18">
        <f>-Assumptions!B30</f>
        <v>-10110731000</v>
      </c>
    </row>
    <row r="22" spans="1:2" x14ac:dyDescent="0.25">
      <c r="A22" t="s">
        <v>72</v>
      </c>
      <c r="B22" s="18">
        <f>B20+B21</f>
        <v>8521905493.294033</v>
      </c>
    </row>
    <row r="23" spans="1:2" x14ac:dyDescent="0.25">
      <c r="A23" s="19" t="s">
        <v>73</v>
      </c>
      <c r="B23" s="25">
        <f>B22/Assumptions!B31</f>
        <v>81.75038605272329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77.67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54.01365869765703</v>
      </c>
    </row>
    <row r="29" spans="1:2" x14ac:dyDescent="0.25">
      <c r="A29" s="19" t="s">
        <v>81</v>
      </c>
      <c r="B29" s="11">
        <f>B28/B26-1</f>
        <v>-0.3045750135488988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0.052795</v>
      </c>
      <c r="B5" s="31">
        <v>119.6845505093341</v>
      </c>
      <c r="C5" s="31">
        <v>131.30212904080614</v>
      </c>
      <c r="D5" s="31">
        <v>147.55341155612058</v>
      </c>
      <c r="E5" s="31">
        <v>171.487556193362</v>
      </c>
      <c r="F5" s="31">
        <v>209.5807041061635</v>
      </c>
    </row>
    <row r="6" spans="1:6" x14ac:dyDescent="0.25">
      <c r="A6" s="30">
        <v>0.062795</v>
      </c>
      <c r="B6" s="31">
        <v>77.73608550008238</v>
      </c>
      <c r="C6" s="31">
        <v>82.37074561249683</v>
      </c>
      <c r="D6" s="31">
        <v>88.5469513451129</v>
      </c>
      <c r="E6" s="31">
        <v>96.96978531122615</v>
      </c>
      <c r="F6" s="31">
        <v>108.8516750518495</v>
      </c>
    </row>
    <row r="7" spans="1:6" x14ac:dyDescent="0.25">
      <c r="A7" s="30">
        <v>0.072795</v>
      </c>
      <c r="B7" s="31">
        <v>50.17965300615809</v>
      </c>
      <c r="C7" s="31">
        <v>51.8083004666936</v>
      </c>
      <c r="D7" s="32">
        <v>54.013362999151155</v>
      </c>
      <c r="E7" s="31">
        <v>56.9968788341379</v>
      </c>
      <c r="F7" s="31">
        <v>61.06779887886211</v>
      </c>
    </row>
    <row r="8" spans="1:6" x14ac:dyDescent="0.25">
      <c r="A8" s="30">
        <v>0.082795</v>
      </c>
      <c r="B8" s="31">
        <v>30.65449196932521</v>
      </c>
      <c r="C8" s="31">
        <v>30.84961324296201</v>
      </c>
      <c r="D8" s="31">
        <v>31.262863036969073</v>
      </c>
      <c r="E8" s="31">
        <v>31.956215549765773</v>
      </c>
      <c r="F8" s="31">
        <v>33.01757831941767</v>
      </c>
    </row>
    <row r="9" spans="1:6" x14ac:dyDescent="0.25">
      <c r="A9" s="30">
        <v>0.092795</v>
      </c>
      <c r="B9" s="31">
        <v>16.069768962953827</v>
      </c>
      <c r="C9" s="31">
        <v>15.545079125461143</v>
      </c>
      <c r="D9" s="31">
        <v>15.091815074014068</v>
      </c>
      <c r="E9" s="31">
        <v>14.727038466239522</v>
      </c>
      <c r="F9" s="31">
        <v>14.473715158268428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7137924000</v>
      </c>
      <c r="C5" s="18">
        <v>7127961000</v>
      </c>
      <c r="D5" s="18">
        <v>6531897000</v>
      </c>
      <c r="E5" s="18">
        <v>3756825000</v>
      </c>
      <c r="F5" s="6" t="s">
        <v>91</v>
      </c>
    </row>
    <row r="6" spans="1:6" x14ac:dyDescent="0.25">
      <c r="A6" t="s">
        <v>51</v>
      </c>
      <c r="B6" s="18">
        <v>1206597000</v>
      </c>
      <c r="C6" s="18">
        <v>1357181000</v>
      </c>
      <c r="D6" s="18">
        <v>1075006000</v>
      </c>
      <c r="E6" s="18">
        <v>-148870000</v>
      </c>
      <c r="F6" s="6" t="s">
        <v>92</v>
      </c>
    </row>
    <row r="7" spans="1:6" x14ac:dyDescent="0.25">
      <c r="A7" t="s">
        <v>93</v>
      </c>
      <c r="B7" s="18">
        <v>620633000</v>
      </c>
      <c r="C7" s="18">
        <v>658895000</v>
      </c>
      <c r="D7" s="18">
        <v>687270000</v>
      </c>
      <c r="E7" s="18">
        <v>692318000</v>
      </c>
      <c r="F7" s="6" t="s">
        <v>94</v>
      </c>
    </row>
    <row r="8" spans="1:6" x14ac:dyDescent="0.25">
      <c r="A8" t="s">
        <v>95</v>
      </c>
      <c r="B8" s="18">
        <v>660890000</v>
      </c>
      <c r="C8" s="18">
        <v>422544000</v>
      </c>
      <c r="D8" s="18">
        <v>453545000</v>
      </c>
      <c r="E8" s="18">
        <v>312323000</v>
      </c>
      <c r="F8" s="6" t="s">
        <v>96</v>
      </c>
    </row>
    <row r="9" spans="1:6" x14ac:dyDescent="0.25">
      <c r="A9" t="s">
        <v>97</v>
      </c>
      <c r="B9" s="18">
        <v>38778000</v>
      </c>
      <c r="C9" s="18">
        <v>35780000</v>
      </c>
      <c r="D9" s="18">
        <v>-1842000</v>
      </c>
      <c r="E9" s="18">
        <v>56618000</v>
      </c>
      <c r="F9" s="6" t="s">
        <v>98</v>
      </c>
    </row>
    <row r="10" spans="1:6" x14ac:dyDescent="0.25">
      <c r="A10" t="s">
        <v>99</v>
      </c>
      <c r="B10" s="18">
        <v>12175929000</v>
      </c>
      <c r="C10" s="18">
        <v>12165624000</v>
      </c>
      <c r="D10" s="18">
        <v>13370086000</v>
      </c>
      <c r="E10" s="18">
        <v>13732016000</v>
      </c>
      <c r="F10" s="6" t="s">
        <v>100</v>
      </c>
    </row>
    <row r="11" spans="1:6" x14ac:dyDescent="0.25">
      <c r="A11" t="s">
        <v>101</v>
      </c>
      <c r="B11" s="18">
        <v>2065198000</v>
      </c>
      <c r="C11" s="18">
        <v>2426155000</v>
      </c>
      <c r="D11" s="18">
        <v>3724378000</v>
      </c>
      <c r="E11" s="18">
        <v>3650440000</v>
      </c>
      <c r="F11" s="6" t="s">
        <v>102</v>
      </c>
    </row>
    <row r="12" spans="1:6" x14ac:dyDescent="0.25">
      <c r="A12" t="s">
        <v>34</v>
      </c>
      <c r="B12" s="34">
        <v>104243000</v>
      </c>
      <c r="C12" s="34">
        <v>110267000</v>
      </c>
      <c r="D12" s="34">
        <v>112855000</v>
      </c>
      <c r="E12" s="34">
        <v>113623000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