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<sst xmlns="http://schemas.openxmlformats.org/spreadsheetml/2006/main" count="111" uniqueCount="99">
  <si>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Wynn Resorts, Limited (WYNN)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</si>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</sst>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0.23855981362120016</v>
      </c>
    </row>
    <row r="7" spans="1:2" x14ac:dyDescent="0.25">
      <c r="A7" t="s">
        <v>5</v>
      </c>
      <c r="B7" s="6">
        <v>0.12109852823181622</v>
      </c>
    </row>
    <row r="8" spans="1:2" x14ac:dyDescent="0.25">
      <c r="A8" t="s">
        <v>6</v>
      </c>
      <c r="B8" s="6">
        <v>0.10497849804207804</v>
      </c>
    </row>
    <row r="9" spans="1:2" x14ac:dyDescent="0.25">
      <c r="A9" t="s">
        <v>7</v>
      </c>
      <c r="B9" s="6">
        <v>0.11722175109821883</v>
      </c>
    </row>
    <row r="10" spans="1:2" x14ac:dyDescent="0.25">
      <c r="A10" t="s">
        <v>8</v>
      </c>
      <c r="B10" s="6">
        <v>0.07610964428662999</v>
      </c>
    </row>
    <row r="11" spans="1:2" x14ac:dyDescent="0.25">
      <c r="A11" t="s">
        <v>9</v>
      </c>
      <c r="B11" s="6">
        <v>0.06002711118269179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10.136456897051822</v>
      </c>
    </row>
    <row r="14" spans="1:3" x14ac:dyDescent="0.25">
      <c r="A14" t="s">
        <v>12</v>
      </c>
      <c r="B14" s="6">
        <v>0.1051403577337599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0.99397</v>
      </c>
      <c r="C19" s="8" t="s">
        <v>19</v>
      </c>
    </row>
    <row r="20" spans="1:2" x14ac:dyDescent="0.25">
      <c r="A20" t="s">
        <v>20</v>
      </c>
      <c r="B20" s="10">
        <f>B17+B19*B18</f>
        <v>0.10464835</v>
      </c>
    </row>
    <row r="21" spans="1:3" x14ac:dyDescent="0.25">
      <c r="A21" t="s">
        <v>21</v>
      </c>
      <c r="B21" s="6">
        <v>0.0513981996136401</v>
      </c>
      <c r="C21" s="8" t="s">
        <v>22</v>
      </c>
    </row>
    <row r="22" spans="1:2" x14ac:dyDescent="0.25">
      <c r="A22" t="s">
        <v>23</v>
      </c>
      <c r="B22" s="11">
        <v>8410907136</v>
      </c>
    </row>
    <row r="23" spans="1:2" x14ac:dyDescent="0.25">
      <c r="A23" t="s">
        <v>24</v>
      </c>
      <c r="B23" s="11">
        <v>12175929000</v>
      </c>
    </row>
    <row r="24" spans="1:2" x14ac:dyDescent="0.25">
      <c r="A24" t="s">
        <v>25</v>
      </c>
      <c r="B24" s="10">
        <f>B22/(B22+B23)</f>
        <v>0.40855754038338743</v>
      </c>
    </row>
    <row r="25" spans="1:2" x14ac:dyDescent="0.25">
      <c r="A25" t="s">
        <v>26</v>
      </c>
      <c r="B25" s="10">
        <f>1-B24</f>
        <v>0.5914424596166126</v>
      </c>
    </row>
    <row r="26" spans="1:2" x14ac:dyDescent="0.25">
      <c r="A26" t="s">
        <v>27</v>
      </c>
      <c r="B26" s="12">
        <f>B24*B20+B25*B21*(1-B8)</f>
        <v>0.06996270057229172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7137924000</v>
      </c>
      <c r="C29" s="8" t="s">
        <v>30</v>
      </c>
    </row>
    <row r="30" spans="1:2" x14ac:dyDescent="0.25">
      <c r="A30" t="s">
        <v>31</v>
      </c>
      <c r="B30" s="11">
        <v>10110731000</v>
      </c>
    </row>
    <row r="31" spans="1:2" x14ac:dyDescent="0.25">
      <c r="A31" t="s">
        <v>32</v>
      </c>
      <c r="B31" s="13">
        <v>104243000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0.23855981362120016</v>
      </c>
      <c r="C5" s="10">
        <f>Assumptions!B6</f>
        <v>0.23855981362120016</v>
      </c>
      <c r="D5" s="10">
        <f>Assumptions!B6</f>
        <v>0.23855981362120016</v>
      </c>
      <c r="E5" s="10">
        <f>Assumptions!B6</f>
        <v>0.23855981362120016</v>
      </c>
      <c r="F5" s="10">
        <f>Assumptions!B6</f>
        <v>0.23855981362120016</v>
      </c>
    </row>
    <row r="6" spans="1:6" x14ac:dyDescent="0.25">
      <c r="A6" t="s">
        <v>43</v>
      </c>
      <c r="B6" s="18">
        <f>Assumptions!B29*(1+B5)</f>
        <v>8840745819.08229</v>
      </c>
      <c r="C6" s="18">
        <f>B6*(1+C5)</f>
        <v>10949792493.954966</v>
      </c>
      <c r="D6" s="18">
        <f>C6*(1+D5)</f>
        <v>13561972950.50368</v>
      </c>
      <c r="E6" s="18">
        <f>D6*(1+E5)</f>
        <v>16797314689.911594</v>
      </c>
      <c r="F6" s="18">
        <f>E6*(1+F5)</f>
        <v>20804478951.673553</v>
      </c>
    </row>
    <row r="7" spans="1:6" x14ac:dyDescent="0.25">
      <c r="A7" t="s">
        <v>5</v>
      </c>
      <c r="B7" s="10">
        <f>Assumptions!B7</f>
        <v>0.12109852823181622</v>
      </c>
      <c r="C7" s="10">
        <f>Assumptions!B7</f>
        <v>0.12109852823181622</v>
      </c>
      <c r="D7" s="10">
        <f>Assumptions!B7</f>
        <v>0.12109852823181622</v>
      </c>
      <c r="E7" s="10">
        <f>Assumptions!B7</f>
        <v>0.12109852823181622</v>
      </c>
      <c r="F7" s="10">
        <f>Assumptions!B7</f>
        <v>0.12109852823181622</v>
      </c>
    </row>
    <row r="8" spans="1:6" x14ac:dyDescent="0.25">
      <c r="A8" t="s">
        <v>44</v>
      </c>
      <c r="B8" s="18">
        <f>B6*B7</f>
        <v>1070601307.1624479</v>
      </c>
      <c r="C8" s="18">
        <f>C6*C7</f>
        <v>1326003755.4617348</v>
      </c>
      <c r="D8" s="18">
        <f>D6*D7</f>
        <v>1642334964.2256978</v>
      </c>
      <c r="E8" s="18">
        <f>E6*E7</f>
        <v>2034130087.1949604</v>
      </c>
      <c r="F8" s="18">
        <f>F6*F7</f>
        <v>2519391781.677466</v>
      </c>
    </row>
    <row r="9" spans="1:6" x14ac:dyDescent="0.25">
      <c r="A9" t="s">
        <v>45</v>
      </c>
      <c r="B9" s="18">
        <f>B8*(1-Assumptions!B8)</f>
        <v>958211189.9346488</v>
      </c>
      <c r="C9" s="18">
        <f>C8*(1-Assumptions!B8)</f>
        <v>1186801872.815207</v>
      </c>
      <c r="D9" s="18">
        <f>D8*(1-Assumptions!B8)</f>
        <v>1469925106.3992941</v>
      </c>
      <c r="E9" s="18">
        <f>E8*(1-Assumptions!B8)</f>
        <v>1820590165.8190322</v>
      </c>
      <c r="F9" s="18">
        <f>F8*(1-Assumptions!B8)</f>
        <v>2254909816.4574103</v>
      </c>
    </row>
    <row r="10" spans="1:6" x14ac:dyDescent="0.25">
      <c r="A10" t="s">
        <v>46</v>
      </c>
      <c r="B10" s="18">
        <f>B6*Assumptions!B9</f>
        <v>1036327705.9270831</v>
      </c>
      <c r="C10" s="18">
        <f>C6*Assumptions!B9</f>
        <v>1283553850.3035338</v>
      </c>
      <c r="D10" s="18">
        <f>D6*Assumptions!B9</f>
        <v>1589758217.6047187</v>
      </c>
      <c r="E10" s="18">
        <f>E6*Assumptions!B9</f>
        <v>1969010641.699272</v>
      </c>
      <c r="F10" s="18">
        <f>F6*Assumptions!B9</f>
        <v>2438737453.40121</v>
      </c>
    </row>
    <row r="11" spans="1:6" x14ac:dyDescent="0.25">
      <c r="A11" t="s">
        <v>47</v>
      </c>
      <c r="B11" s="18">
        <f>-B6*Assumptions!B10</f>
        <v>-672866019.5188644</v>
      </c>
      <c r="C11" s="18">
        <f>-C6*Assumptions!B10</f>
        <v>-833384811.7273234</v>
      </c>
      <c r="D11" s="18">
        <f>-D6*Assumptions!B10</f>
        <v>-1032196937.0877328</v>
      </c>
      <c r="E11" s="18">
        <f>-E6*Assumptions!B10</f>
        <v>-1278437646.0197558</v>
      </c>
      <c r="F11" s="18">
        <f>-F6*Assumptions!B10</f>
        <v>-1583421492.580555</v>
      </c>
    </row>
    <row r="12" spans="1:6" x14ac:dyDescent="0.25">
      <c r="A12" t="s">
        <v>48</v>
      </c>
      <c r="B12" s="18">
        <f>-(B6-Assumptions!B29)*Assumptions!B11</f>
        <v>-102215474.65836614</v>
      </c>
      <c r="C12" s="18">
        <f>-(C6-B6)*Assumptions!B11</f>
        <v>-126599979.24206848</v>
      </c>
      <c r="D12" s="18">
        <f>-(D6-C6)*Assumptions!B11</f>
        <v>-156801646.69450423</v>
      </c>
      <c r="E12" s="18">
        <f>-(E6-D6)*Assumptions!B11</f>
        <v>-194208218.3054424</v>
      </c>
      <c r="F12" s="18">
        <f>-(F6-E6)*Assumptions!B11</f>
        <v>-240538494.6680942</v>
      </c>
    </row>
    <row r="13" spans="1:6" x14ac:dyDescent="0.25">
      <c r="A13" s="19" t="s">
        <v>49</v>
      </c>
      <c r="B13" s="20">
        <f>B9+B10+B11+B12</f>
        <v>1219457401.6845014</v>
      </c>
      <c r="C13" s="20">
        <f>C9+C10+C11+C12</f>
        <v>1510370932.149349</v>
      </c>
      <c r="D13" s="20">
        <f>D9+D10+D11+D12</f>
        <v>1870684740.221776</v>
      </c>
      <c r="E13" s="20">
        <f>E9+E10+E11+E12</f>
        <v>2316954943.1931057</v>
      </c>
      <c r="F13" s="20">
        <f>F9+F10+F11+F12</f>
        <v>2869687282.6099706</v>
      </c>
    </row>
    <row r="14" spans="1:6" x14ac:dyDescent="0.25">
      <c r="A14" t="s">
        <v>50</v>
      </c>
      <c r="B14" s="21">
        <f>1/(1+Assumptions!$B$26)^(1-0.5*Assumptions!$B$32)</f>
        <v>0.9667533393543314</v>
      </c>
      <c r="C14" s="21">
        <f>1/(1+Assumptions!$B$26)^(2-0.5*Assumptions!$B$32)</f>
        <v>0.9035392905166163</v>
      </c>
      <c r="D14" s="21">
        <f>1/(1+Assumptions!$B$26)^(3-0.5*Assumptions!$B$32)</f>
        <v>0.8444586806935789</v>
      </c>
      <c r="E14" s="21">
        <f>1/(1+Assumptions!$B$26)^(4-0.5*Assumptions!$B$32)</f>
        <v>0.789241232654094</v>
      </c>
      <c r="F14" s="21">
        <f>1/(1+Assumptions!$B$26)^(5-0.5*Assumptions!$B$32)</f>
        <v>0.737634342049449</v>
      </c>
    </row>
    <row r="15" spans="1:6" x14ac:dyDescent="0.25">
      <c r="A15" s="19" t="s">
        <v>51</v>
      </c>
      <c r="B15" s="20">
        <f>B13*B14</f>
        <v>1178914515.278848</v>
      </c>
      <c r="C15" s="20">
        <f>C13*C14</f>
        <v>1364679480.4511433</v>
      </c>
      <c r="D15" s="20">
        <f>D13*D14</f>
        <v>1579715967.7212913</v>
      </c>
      <c r="E15" s="20">
        <f>E13*E14</f>
        <v>1828636375.369723</v>
      </c>
      <c r="F15" s="20">
        <f>F13*F14</f>
        <v>2116779890.595677</v>
      </c>
    </row>
    <row r="17" spans="1:2" x14ac:dyDescent="0.25">
      <c r="A17" s="22" t="s">
        <v>52</v>
      </c>
      <c r="B17" s="23">
        <f>SUM(B15:F15)</f>
        <v>8068726229.416683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2869687282.6099706</v>
      </c>
    </row>
    <row r="5" spans="1:2" x14ac:dyDescent="0.25">
      <c r="A5" t="s">
        <v>56</v>
      </c>
      <c r="B5" s="18">
        <f>IF(Assumptions!$B$33=0,B4,B4-Forecast!F11-Forecast!F10-Forecast!F12)</f>
        <v>2254909816.4574103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0.23777739146851562</v>
      </c>
    </row>
    <row r="7" spans="1:2" x14ac:dyDescent="0.25">
      <c r="A7" t="s">
        <v>58</v>
      </c>
      <c r="B7" s="18">
        <f>-MAX(Forecast!F9,0)*B6</f>
        <v>-536166574.15399235</v>
      </c>
    </row>
    <row r="8" spans="1:2" x14ac:dyDescent="0.25">
      <c r="A8" t="s">
        <v>59</v>
      </c>
      <c r="B8" s="18">
        <f>IF(OR(Assumptions!$B$33=0,Assumptions!B12&lt;=0),B5,MAX(B5+B7,0))</f>
        <v>1718743242.303418</v>
      </c>
    </row>
    <row r="9" spans="1:2" x14ac:dyDescent="0.25">
      <c r="A9" t="s">
        <v>60</v>
      </c>
      <c r="B9" s="18">
        <f>B8*(1+Assumptions!B12)/(Assumptions!B26-Assumptions!B12)</f>
        <v>39181628348.33499</v>
      </c>
    </row>
    <row r="10" spans="1:2" x14ac:dyDescent="0.25">
      <c r="A10" t="s">
        <v>61</v>
      </c>
      <c r="B10" s="18">
        <f>B9/(1+Assumptions!B26)^(5-0.5*Assumptions!B32)</f>
        <v>28901714647.15012</v>
      </c>
    </row>
    <row r="11" spans="1:2" x14ac:dyDescent="0.25">
      <c r="A11" t="s">
        <v>62</v>
      </c>
      <c r="B11" s="18">
        <f>Forecast!B17+B10</f>
        <v>36970440876.5668</v>
      </c>
    </row>
    <row r="12" spans="1:2" x14ac:dyDescent="0.25">
      <c r="A12" t="s">
        <v>63</v>
      </c>
      <c r="B12" s="18">
        <f>-Assumptions!B30</f>
        <v>-10110731000</v>
      </c>
    </row>
    <row r="13" spans="1:2" x14ac:dyDescent="0.25">
      <c r="A13" t="s">
        <v>64</v>
      </c>
      <c r="B13" s="18">
        <f>B11+B12</f>
        <v>26859709876.566803</v>
      </c>
    </row>
    <row r="14" spans="1:2" x14ac:dyDescent="0.25">
      <c r="A14" s="19" t="s">
        <v>65</v>
      </c>
      <c r="B14" s="24">
        <f>B13/Assumptions!B31</f>
        <v>257.66439834393486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4958129235.078676</v>
      </c>
    </row>
    <row r="18" spans="1:2" x14ac:dyDescent="0.25">
      <c r="A18" t="s">
        <v>60</v>
      </c>
      <c r="B18" s="18">
        <f>B17*Assumptions!B13</f>
        <v>50257863281.38752</v>
      </c>
    </row>
    <row r="19" spans="1:2" x14ac:dyDescent="0.25">
      <c r="A19" t="s">
        <v>61</v>
      </c>
      <c r="B19" s="18">
        <f>B18/(1+Assumptions!B26)^(5-0.5*Assumptions!B32)</f>
        <v>37071925914.37744</v>
      </c>
    </row>
    <row r="20" spans="1:2" x14ac:dyDescent="0.25">
      <c r="A20" t="s">
        <v>62</v>
      </c>
      <c r="B20" s="18">
        <f>Forecast!B17+B19</f>
        <v>45140652143.79413</v>
      </c>
    </row>
    <row r="21" spans="1:2" x14ac:dyDescent="0.25">
      <c r="A21" t="s">
        <v>63</v>
      </c>
      <c r="B21" s="18">
        <f>-Assumptions!B30</f>
        <v>-10110731000</v>
      </c>
    </row>
    <row r="22" spans="1:2" x14ac:dyDescent="0.25">
      <c r="A22" t="s">
        <v>64</v>
      </c>
      <c r="B22" s="18">
        <f>B20+B21</f>
        <v>35029921143.79413</v>
      </c>
    </row>
    <row r="23" spans="1:2" x14ac:dyDescent="0.25">
      <c r="A23" s="19" t="s">
        <v>65</v>
      </c>
      <c r="B23" s="25">
        <f>B22/Assumptions!B31</f>
        <v>336.04099214138245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81.68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257.66439834393486</v>
      </c>
    </row>
    <row r="29" spans="1:2" x14ac:dyDescent="0.25">
      <c r="A29" s="19" t="s">
        <v>73</v>
      </c>
      <c r="B29" s="12">
        <f>B28/B26-1</f>
        <v>2.154559235356695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0.049963</v>
      </c>
      <c r="B5" s="31">
        <v>416.9443802380512</v>
      </c>
      <c r="C5" s="31">
        <v>463.4519606360878</v>
      </c>
      <c r="D5" s="31">
        <v>528.2592416831168</v>
      </c>
      <c r="E5" s="31">
        <v>625.1164367606393</v>
      </c>
      <c r="F5" s="31">
        <v>786.1527118418825</v>
      </c>
    </row>
    <row r="6" spans="1:6" x14ac:dyDescent="0.25">
      <c r="A6" s="30">
        <v>0.059963</v>
      </c>
      <c r="B6" s="31">
        <v>304.6050632684084</v>
      </c>
      <c r="C6" s="31">
        <v>326.4912807943708</v>
      </c>
      <c r="D6" s="31">
        <v>354.41092630636336</v>
      </c>
      <c r="E6" s="31">
        <v>391.3844390057501</v>
      </c>
      <c r="F6" s="31">
        <v>442.8521909556206</v>
      </c>
    </row>
    <row r="7" spans="1:6" x14ac:dyDescent="0.25">
      <c r="A7" s="30">
        <v>0.069963</v>
      </c>
      <c r="B7" s="31">
        <v>233.03137765807247</v>
      </c>
      <c r="C7" s="31">
        <v>244.1902452943186</v>
      </c>
      <c r="D7" s="32">
        <v>257.66214241482584</v>
      </c>
      <c r="E7" s="31">
        <v>274.3152581511392</v>
      </c>
      <c r="F7" s="31">
        <v>295.5144147220923</v>
      </c>
    </row>
    <row r="8" spans="1:6" x14ac:dyDescent="0.25">
      <c r="A8" s="30">
        <v>0.079963</v>
      </c>
      <c r="B8" s="31">
        <v>183.4051741805377</v>
      </c>
      <c r="C8" s="31">
        <v>189.21225912566373</v>
      </c>
      <c r="D8" s="31">
        <v>195.94349319768085</v>
      </c>
      <c r="E8" s="31">
        <v>203.8763264476946</v>
      </c>
      <c r="F8" s="31">
        <v>213.41162153322196</v>
      </c>
    </row>
    <row r="9" spans="1:6" x14ac:dyDescent="0.25">
      <c r="A9" s="30">
        <v>0.089963</v>
      </c>
      <c r="B9" s="31">
        <v>146.94909442144098</v>
      </c>
      <c r="C9" s="31">
        <v>149.8492403380212</v>
      </c>
      <c r="D9" s="31">
        <v>153.0883524597007</v>
      </c>
      <c r="E9" s="31">
        <v>156.75122462728962</v>
      </c>
      <c r="F9" s="31">
        <v>160.95350556244867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7137924000</v>
      </c>
      <c r="C5" s="18">
        <v>7127961000</v>
      </c>
      <c r="D5" s="18">
        <v>6531897000</v>
      </c>
      <c r="E5" s="18">
        <v>3756825000</v>
      </c>
      <c r="F5" s="8" t="s">
        <v>84</v>
      </c>
    </row>
    <row r="6" spans="1:6" x14ac:dyDescent="0.25">
      <c r="A6" t="s">
        <v>44</v>
      </c>
      <c r="B6" s="18">
        <v>1206597000</v>
      </c>
      <c r="C6" s="18">
        <v>1357181000</v>
      </c>
      <c r="D6" s="18">
        <v>1075006000</v>
      </c>
      <c r="E6" s="18">
        <v>-148870000</v>
      </c>
      <c r="F6" s="8" t="s">
        <v>85</v>
      </c>
    </row>
    <row r="7" spans="1:6" x14ac:dyDescent="0.25">
      <c r="A7" t="s">
        <v>86</v>
      </c>
      <c r="B7" s="18">
        <v>620633000</v>
      </c>
      <c r="C7" s="18">
        <v>658895000</v>
      </c>
      <c r="D7" s="18">
        <v>687270000</v>
      </c>
      <c r="E7" s="18">
        <v>692318000</v>
      </c>
      <c r="F7" s="8" t="s">
        <v>87</v>
      </c>
    </row>
    <row r="8" spans="1:6" x14ac:dyDescent="0.25">
      <c r="A8" t="s">
        <v>88</v>
      </c>
      <c r="B8" s="18">
        <v>660890000</v>
      </c>
      <c r="C8" s="18">
        <v>422544000</v>
      </c>
      <c r="D8" s="18">
        <v>453545000</v>
      </c>
      <c r="E8" s="18">
        <v>312323000</v>
      </c>
      <c r="F8" s="8" t="s">
        <v>89</v>
      </c>
    </row>
    <row r="9" spans="1:6" x14ac:dyDescent="0.25">
      <c r="A9" t="s">
        <v>90</v>
      </c>
      <c r="B9" s="18">
        <v>38778000</v>
      </c>
      <c r="C9" s="18">
        <v>35780000</v>
      </c>
      <c r="D9" s="18">
        <v>-1842000</v>
      </c>
      <c r="E9" s="18">
        <v>56618000</v>
      </c>
      <c r="F9" s="8" t="s">
        <v>91</v>
      </c>
    </row>
    <row r="10" spans="1:6" x14ac:dyDescent="0.25">
      <c r="A10" t="s">
        <v>92</v>
      </c>
      <c r="B10" s="18">
        <v>12175929000</v>
      </c>
      <c r="C10" s="18">
        <v>12165624000</v>
      </c>
      <c r="D10" s="18">
        <v>13370086000</v>
      </c>
      <c r="E10" s="18">
        <v>13732016000</v>
      </c>
      <c r="F10" s="8" t="s">
        <v>93</v>
      </c>
    </row>
    <row r="11" spans="1:6" x14ac:dyDescent="0.25">
      <c r="A11" t="s">
        <v>94</v>
      </c>
      <c r="B11" s="18">
        <v>2065198000</v>
      </c>
      <c r="C11" s="18">
        <v>2426155000</v>
      </c>
      <c r="D11" s="18">
        <v>3724378000</v>
      </c>
      <c r="E11" s="18">
        <v>3650440000</v>
      </c>
      <c r="F11" s="8" t="s">
        <v>95</v>
      </c>
    </row>
    <row r="12" spans="1:6" x14ac:dyDescent="0.25">
      <c r="A12" t="s">
        <v>32</v>
      </c>
      <c r="B12" s="34">
        <v>104243000</v>
      </c>
      <c r="C12" s="34">
        <v>110267000</v>
      </c>
      <c r="D12" s="34">
        <v>112855000</v>
      </c>
      <c r="E12" s="34">
        <v>113623000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2026-09-19T01:06:37Z</dcterms:modified>
</cp:coreProperties>
</file>