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<sst xmlns="http://schemas.openxmlformats.org/spreadsheetml/2006/main" count="113" uniqueCount="101">
  <si>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Xcel Energy Inc. (XEL)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</si>
  <si>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</si>
  <si>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</si>
  <si>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</si>
  <si>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</si>
  <si>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</si>
  <si>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</si>
  <si>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</si>
  <si>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</si>
  <si>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</si>
  <si>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</si>
  <si>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</si>
  <si>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</si>
  <si>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</si>
  <si>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</si>
  <si>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</si>
  <si>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</si>
  <si>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</si>
  <si>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</si>
  <si>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</si>
  <si>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</si>
  <si>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</si>
  <si>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</si>
  <si>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</si>
  <si>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</si>
  <si>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</si>
  <si>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</si>
  <si>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</si>
  <si>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</si>
  <si>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</si>
  <si>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</si>
  <si>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</si>
  <si>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</si>
  <si>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</si>
  <si>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</si>
  <si>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</si>
  <si>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</si>
  <si>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</si>
  <si>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</si>
  <si>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</si>
  <si>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</si>
  <si>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</si>
  <si>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</si>
  <si>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</si>
  <si>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</si>
  <si>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</si>
  <si>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</si>
  <si>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</si>
  <si>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</si>
  <si>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</si>
  <si>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</si>
  <si>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</si>
  <si>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</si>
  <si>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</si>
  <si>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</si>
  <si>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</si>
  <si>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</si>
  <si>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</si>
  <si>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</si>
  <si>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</si>
  <si>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</si>
  <si>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</si>
  <si>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</si>
  <si>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</si>
  <si>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</si>
  <si>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</si>
  <si>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</si>
  <si>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</si>
  <si>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</si>
  <si>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</si>
  <si>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</si>
  <si>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</si>
  <si>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</si>
  <si>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</si>
  <si>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</si>
  <si>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</si>
  <si>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</si>
  <si>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</si>
  <si>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</si>
  <si>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</si>
  <si>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</si>
  <si>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</si>
  <si>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</si>
  <si>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</si>
  <si>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</si>
  <si>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</si>
  <si>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</si>
  <si>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</si>
  <si>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</si>
  <si>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</si>
  <si>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</si>
  <si>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</si>
  <si>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</si>
  <si>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</si>
  <si>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</si>
  <si>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</si>
  <si>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</si>
  <si>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</si>
  <si>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</si>
  <si>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50.2% of revenue against depreciation of 19.3%.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</si>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</sst>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-0.014155451358960125</v>
      </c>
    </row>
    <row r="7" spans="1:2" x14ac:dyDescent="0.25">
      <c r="A7" t="s">
        <v>5</v>
      </c>
      <c r="B7" s="6">
        <v>0.17863662176341172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0.19287952065703368</v>
      </c>
    </row>
    <row r="10" spans="1:2" x14ac:dyDescent="0.25">
      <c r="A10" t="s">
        <v>8</v>
      </c>
      <c r="B10" s="6">
        <v>0.5016258829620998</v>
      </c>
    </row>
    <row r="11" spans="1:2" x14ac:dyDescent="0.25">
      <c r="A11" t="s">
        <v>9</v>
      </c>
      <c r="B11" s="6">
        <v>0.9055374592833876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13.364882133870156</v>
      </c>
    </row>
    <row r="14" spans="1:3" x14ac:dyDescent="0.25">
      <c r="A14" t="s">
        <v>12</v>
      </c>
      <c r="B14" s="6">
        <v>0.06397299322288388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0.5973299999999999</v>
      </c>
      <c r="C19" s="8" t="s">
        <v>19</v>
      </c>
    </row>
    <row r="20" spans="1:2" x14ac:dyDescent="0.25">
      <c r="A20" t="s">
        <v>20</v>
      </c>
      <c r="B20" s="10">
        <f>B17+B19*B18</f>
        <v>0.08283315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45161062400</v>
      </c>
    </row>
    <row r="23" spans="1:2" x14ac:dyDescent="0.25">
      <c r="A23" t="s">
        <v>24</v>
      </c>
      <c r="B23" s="11">
        <v>34781000000</v>
      </c>
    </row>
    <row r="24" spans="1:2" x14ac:dyDescent="0.25">
      <c r="A24" t="s">
        <v>25</v>
      </c>
      <c r="B24" s="10">
        <f>B22/(B22+B23)</f>
        <v>0.5649224081063988</v>
      </c>
    </row>
    <row r="25" spans="1:2" x14ac:dyDescent="0.25">
      <c r="A25" t="s">
        <v>26</v>
      </c>
      <c r="B25" s="10">
        <f>1-B24</f>
        <v>0.4350775918936012</v>
      </c>
    </row>
    <row r="26" spans="1:2" x14ac:dyDescent="0.25">
      <c r="A26" t="s">
        <v>27</v>
      </c>
      <c r="B26" s="12">
        <f>B24*B20+B25*B21*(1-B8)</f>
        <v>0.06397299322288388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14669000000</v>
      </c>
      <c r="C29" s="8" t="s">
        <v>30</v>
      </c>
    </row>
    <row r="30" spans="1:2" x14ac:dyDescent="0.25">
      <c r="A30" t="s">
        <v>31</v>
      </c>
      <c r="B30" s="11">
        <v>34507000000</v>
      </c>
    </row>
    <row r="31" spans="1:2" x14ac:dyDescent="0.25">
      <c r="A31" t="s">
        <v>32</v>
      </c>
      <c r="B31" s="13">
        <v>589000000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-0.014155451358960125</v>
      </c>
      <c r="C5" s="10">
        <f>Assumptions!B6</f>
        <v>-0.014155451358960125</v>
      </c>
      <c r="D5" s="10">
        <f>Assumptions!B6</f>
        <v>-0.014155451358960125</v>
      </c>
      <c r="E5" s="10">
        <f>Assumptions!B6</f>
        <v>-0.014155451358960125</v>
      </c>
      <c r="F5" s="10">
        <f>Assumptions!B6</f>
        <v>-0.014155451358960125</v>
      </c>
    </row>
    <row r="6" spans="1:6" x14ac:dyDescent="0.25">
      <c r="A6" t="s">
        <v>43</v>
      </c>
      <c r="B6" s="18">
        <f>Assumptions!B29*(1+B5)</f>
        <v>14461353684.015413</v>
      </c>
      <c r="C6" s="18">
        <f>B6*(1+C5)</f>
        <v>14256646695.356615</v>
      </c>
      <c r="D6" s="18">
        <f>C6*(1+D5)</f>
        <v>14054837426.518616</v>
      </c>
      <c r="E6" s="18">
        <f>D6*(1+E5)</f>
        <v>13855884858.969439</v>
      </c>
      <c r="F6" s="18">
        <f>E6*(1+F5)</f>
        <v>13659748554.812944</v>
      </c>
    </row>
    <row r="7" spans="1:6" x14ac:dyDescent="0.25">
      <c r="A7" t="s">
        <v>5</v>
      </c>
      <c r="B7" s="10">
        <f>Assumptions!B7</f>
        <v>0.17863662176341172</v>
      </c>
      <c r="C7" s="10">
        <f>Assumptions!B7</f>
        <v>0.17863662176341172</v>
      </c>
      <c r="D7" s="10">
        <f>Assumptions!B7</f>
        <v>0.17863662176341172</v>
      </c>
      <c r="E7" s="10">
        <f>Assumptions!B7</f>
        <v>0.17863662176341172</v>
      </c>
      <c r="F7" s="10">
        <f>Assumptions!B7</f>
        <v>0.17863662176341172</v>
      </c>
    </row>
    <row r="8" spans="1:6" x14ac:dyDescent="0.25">
      <c r="A8" t="s">
        <v>44</v>
      </c>
      <c r="B8" s="18">
        <f>B6*B7</f>
        <v>2583327368.238382</v>
      </c>
      <c r="C8" s="18">
        <f>C6*C7</f>
        <v>2546759203.333013</v>
      </c>
      <c r="D8" s="18">
        <f>D6*D7</f>
        <v>2510708677.307249</v>
      </c>
      <c r="E8" s="18">
        <f>E6*E7</f>
        <v>2475168462.749107</v>
      </c>
      <c r="F8" s="18">
        <f>F6*F7</f>
        <v>2440131335.96943</v>
      </c>
    </row>
    <row r="9" spans="1:6" x14ac:dyDescent="0.25">
      <c r="A9" t="s">
        <v>45</v>
      </c>
      <c r="B9" s="18">
        <f>B8*(1-Assumptions!B8)</f>
        <v>2040828620.9083219</v>
      </c>
      <c r="C9" s="18">
        <f>C8*(1-Assumptions!B8)</f>
        <v>2011939770.6330805</v>
      </c>
      <c r="D9" s="18">
        <f>D8*(1-Assumptions!B8)</f>
        <v>1983459855.072727</v>
      </c>
      <c r="E9" s="18">
        <f>E8*(1-Assumptions!B8)</f>
        <v>1955383085.5717945</v>
      </c>
      <c r="F9" s="18">
        <f>F8*(1-Assumptions!B8)</f>
        <v>1927703755.4158497</v>
      </c>
    </row>
    <row r="10" spans="1:6" x14ac:dyDescent="0.25">
      <c r="A10" t="s">
        <v>46</v>
      </c>
      <c r="B10" s="18">
        <f>B6*Assumptions!B9</f>
        <v>2789298966.624721</v>
      </c>
      <c r="C10" s="18">
        <f>C6*Assumptions!B9</f>
        <v>2749815180.777067</v>
      </c>
      <c r="D10" s="18">
        <f>D6*Assumptions!B9</f>
        <v>2710890305.7394476</v>
      </c>
      <c r="E10" s="18">
        <f>E6*Assumptions!B9</f>
        <v>2672516429.877076</v>
      </c>
      <c r="F10" s="18">
        <f>F6*Assumptions!B9</f>
        <v>2634685753.5479293</v>
      </c>
    </row>
    <row r="11" spans="1:6" x14ac:dyDescent="0.25">
      <c r="A11" t="s">
        <v>47</v>
      </c>
      <c r="B11" s="18">
        <f>-B6*Assumptions!B10</f>
        <v>-7254189310.571445</v>
      </c>
      <c r="C11" s="18">
        <f>-C6*Assumptions!B10</f>
        <v>-7151502986.636964</v>
      </c>
      <c r="D11" s="18">
        <f>-D6*Assumptions!B10</f>
        <v>-7050270233.9661665</v>
      </c>
      <c r="E11" s="18">
        <f>-E6*Assumptions!B10</f>
        <v>-6950470476.601733</v>
      </c>
      <c r="F11" s="18">
        <f>-F6*Assumptions!B10</f>
        <v>-6852083429.8483095</v>
      </c>
    </row>
    <row r="12" spans="1:6" x14ac:dyDescent="0.25">
      <c r="A12" t="s">
        <v>48</v>
      </c>
      <c r="B12" s="18">
        <f>-(B6-Assumptions!B29)*Assumptions!B11</f>
        <v>188031517.40623814</v>
      </c>
      <c r="C12" s="18">
        <f>-(C6-B6)*Assumptions!B11</f>
        <v>185369846.40764138</v>
      </c>
      <c r="D12" s="18">
        <f>-(D6-C6)*Assumptions!B11</f>
        <v>182745852.56340006</v>
      </c>
      <c r="E12" s="18">
        <f>-(E6-D6)*Assumptions!B11</f>
        <v>180159002.53638843</v>
      </c>
      <c r="F12" s="18">
        <f>-(F6-E6)*Assumptions!B11</f>
        <v>177608770.53910545</v>
      </c>
    </row>
    <row r="13" spans="1:6" x14ac:dyDescent="0.25">
      <c r="A13" s="19" t="s">
        <v>49</v>
      </c>
      <c r="B13" s="20">
        <f>B9+B10+B11+B12</f>
        <v>-2236030205.6321645</v>
      </c>
      <c r="C13" s="20">
        <f>C9+C10+C11+C12</f>
        <v>-2204378188.819175</v>
      </c>
      <c r="D13" s="20">
        <f>D9+D10+D11+D12</f>
        <v>-2173174220.5905914</v>
      </c>
      <c r="E13" s="20">
        <f>E9+E10+E11+E12</f>
        <v>-2142411958.6164742</v>
      </c>
      <c r="F13" s="20">
        <f>F9+F10+F11+F12</f>
        <v>-2112085150.3454247</v>
      </c>
    </row>
    <row r="14" spans="1:6" x14ac:dyDescent="0.25">
      <c r="A14" t="s">
        <v>50</v>
      </c>
      <c r="B14" s="21">
        <f>1/(1+Assumptions!$B$26)^(1-0.5*Assumptions!$B$32)</f>
        <v>0.9694707216927939</v>
      </c>
      <c r="C14" s="21">
        <f>1/(1+Assumptions!$B$26)^(2-0.5*Assumptions!$B$32)</f>
        <v>0.9111798211683618</v>
      </c>
      <c r="D14" s="21">
        <f>1/(1+Assumptions!$B$26)^(3-0.5*Assumptions!$B$32)</f>
        <v>0.8563937496273323</v>
      </c>
      <c r="E14" s="21">
        <f>1/(1+Assumptions!$B$26)^(4-0.5*Assumptions!$B$32)</f>
        <v>0.804901773900508</v>
      </c>
      <c r="F14" s="21">
        <f>1/(1+Assumptions!$B$26)^(5-0.5*Assumptions!$B$32)</f>
        <v>0.756505831470757</v>
      </c>
    </row>
    <row r="15" spans="1:6" x14ac:dyDescent="0.25">
      <c r="A15" s="19" t="s">
        <v>51</v>
      </c>
      <c r="B15" s="20">
        <f>B13*B14</f>
        <v>-2167765817.181101</v>
      </c>
      <c r="C15" s="20">
        <f>C13*C14</f>
        <v>-2008584923.875693</v>
      </c>
      <c r="D15" s="20">
        <f>D13*D14</f>
        <v>-1861092819.365032</v>
      </c>
      <c r="E15" s="20">
        <f>E13*E14</f>
        <v>-1724431185.9160616</v>
      </c>
      <c r="F15" s="20">
        <f>F13*F14</f>
        <v>-1597804732.7991042</v>
      </c>
    </row>
    <row r="17" spans="1:2" x14ac:dyDescent="0.25">
      <c r="A17" s="22" t="s">
        <v>52</v>
      </c>
      <c r="B17" s="23">
        <f>SUM(B15:F15)</f>
        <v>-9359679479.136992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-2112085150.3454247</v>
      </c>
    </row>
    <row r="5" spans="1:2" x14ac:dyDescent="0.25">
      <c r="A5" t="s">
        <v>56</v>
      </c>
      <c r="B5" s="18">
        <f>IF(Assumptions!$B$33=0,B4,B4-Forecast!F11-Forecast!F10-Forecast!F12)</f>
        <v>1927703755.4158497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0.3907899058732367</v>
      </c>
    </row>
    <row r="7" spans="1:2" x14ac:dyDescent="0.25">
      <c r="A7" t="s">
        <v>58</v>
      </c>
      <c r="B7" s="18">
        <f>-MAX(Forecast!F9,0)*B6</f>
        <v>-753327169.1304448</v>
      </c>
    </row>
    <row r="8" spans="1:2" x14ac:dyDescent="0.25">
      <c r="A8" t="s">
        <v>59</v>
      </c>
      <c r="B8" s="18">
        <f>IF(OR(Assumptions!$B$33=0,Assumptions!B12&lt;=0),B5,MAX(B5+B7,0))</f>
        <v>1174376586.285405</v>
      </c>
    </row>
    <row r="9" spans="1:2" x14ac:dyDescent="0.25">
      <c r="A9" t="s">
        <v>60</v>
      </c>
      <c r="B9" s="18">
        <f>B8*(1+Assumptions!B12)/(Assumptions!B26-Assumptions!B12)</f>
        <v>30886413934.348232</v>
      </c>
    </row>
    <row r="10" spans="1:2" x14ac:dyDescent="0.25">
      <c r="A10" t="s">
        <v>61</v>
      </c>
      <c r="B10" s="18">
        <f>B9/(1+Assumptions!B26)^(5-0.5*Assumptions!B32)</f>
        <v>23365752254.554085</v>
      </c>
    </row>
    <row r="11" spans="1:2" x14ac:dyDescent="0.25">
      <c r="A11" t="s">
        <v>62</v>
      </c>
      <c r="B11" s="18">
        <f>Forecast!B17+B10</f>
        <v>14006072775.417093</v>
      </c>
    </row>
    <row r="12" spans="1:2" x14ac:dyDescent="0.25">
      <c r="A12" t="s">
        <v>63</v>
      </c>
      <c r="B12" s="18">
        <f>-Assumptions!B30</f>
        <v>-34507000000</v>
      </c>
    </row>
    <row r="13" spans="1:2" x14ac:dyDescent="0.25">
      <c r="A13" t="s">
        <v>64</v>
      </c>
      <c r="B13" s="18">
        <f>B11+B12</f>
        <v>-20500927224.58291</v>
      </c>
    </row>
    <row r="14" spans="1:2" x14ac:dyDescent="0.25">
      <c r="A14" s="19" t="s">
        <v>65</v>
      </c>
      <c r="B14" s="24">
        <f>B13/Assumptions!B31</f>
        <v>-34.80632805531903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5074817089.517359</v>
      </c>
    </row>
    <row r="18" spans="1:2" x14ac:dyDescent="0.25">
      <c r="A18" t="s">
        <v>60</v>
      </c>
      <c r="B18" s="18">
        <f>B17*Assumptions!B13</f>
        <v>67824332252.34949</v>
      </c>
    </row>
    <row r="19" spans="1:2" x14ac:dyDescent="0.25">
      <c r="A19" t="s">
        <v>61</v>
      </c>
      <c r="B19" s="18">
        <f>B18/(1+Assumptions!B26)^(5-0.5*Assumptions!B32)</f>
        <v>51309502864.51253</v>
      </c>
    </row>
    <row r="20" spans="1:2" x14ac:dyDescent="0.25">
      <c r="A20" t="s">
        <v>62</v>
      </c>
      <c r="B20" s="18">
        <f>Forecast!B17+B19</f>
        <v>41949823385.375534</v>
      </c>
    </row>
    <row r="21" spans="1:2" x14ac:dyDescent="0.25">
      <c r="A21" t="s">
        <v>63</v>
      </c>
      <c r="B21" s="18">
        <f>-Assumptions!B30</f>
        <v>-34507000000</v>
      </c>
    </row>
    <row r="22" spans="1:2" x14ac:dyDescent="0.25">
      <c r="A22" t="s">
        <v>64</v>
      </c>
      <c r="B22" s="18">
        <f>B20+B21</f>
        <v>7442823385.375534</v>
      </c>
    </row>
    <row r="23" spans="1:2" x14ac:dyDescent="0.25">
      <c r="A23" s="19" t="s">
        <v>65</v>
      </c>
      <c r="B23" s="25">
        <f>B22/Assumptions!B31</f>
        <v>12.636372470926204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-34.80632805531903</v>
      </c>
    </row>
    <row r="29" spans="1:2" x14ac:dyDescent="0.25">
      <c r="A29" s="19" t="s">
        <v>73</v>
      </c>
      <c r="B29" s="12">
        <f>B28/B26-1</f>
        <v>-1.48141532579971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0.043973</v>
      </c>
      <c r="B5" s="31">
        <v>-12.961659977325226</v>
      </c>
      <c r="C5" s="31">
        <v>-12.655035227604378</v>
      </c>
      <c r="D5" s="31">
        <v>-12.348410477883544</v>
      </c>
      <c r="E5" s="31">
        <v>-12.04178572816271</v>
      </c>
      <c r="F5" s="31">
        <v>-11.735160978441876</v>
      </c>
    </row>
    <row r="6" spans="1:6" x14ac:dyDescent="0.25">
      <c r="A6" s="30">
        <v>0.053973</v>
      </c>
      <c r="B6" s="31">
        <v>-26.251509674662746</v>
      </c>
      <c r="C6" s="31">
        <v>-26.012185946426015</v>
      </c>
      <c r="D6" s="31">
        <v>-25.77286221818927</v>
      </c>
      <c r="E6" s="31">
        <v>-25.53353848995254</v>
      </c>
      <c r="F6" s="31">
        <v>-25.29421476171581</v>
      </c>
    </row>
    <row r="7" spans="1:6" x14ac:dyDescent="0.25">
      <c r="A7" s="30">
        <v>0.063973</v>
      </c>
      <c r="B7" s="31">
        <v>-35.19335952045571</v>
      </c>
      <c r="C7" s="31">
        <v>-34.99984633887872</v>
      </c>
      <c r="D7" s="32">
        <v>-34.806333157301744</v>
      </c>
      <c r="E7" s="31">
        <v>-34.612819975724754</v>
      </c>
      <c r="F7" s="31">
        <v>-34.419306794147786</v>
      </c>
    </row>
    <row r="8" spans="1:6" x14ac:dyDescent="0.25">
      <c r="A8" s="30">
        <v>0.073973</v>
      </c>
      <c r="B8" s="31">
        <v>-41.560424472258276</v>
      </c>
      <c r="C8" s="31">
        <v>-41.39997007017077</v>
      </c>
      <c r="D8" s="31">
        <v>-41.23951566808329</v>
      </c>
      <c r="E8" s="31">
        <v>-41.07906126599578</v>
      </c>
      <c r="F8" s="31">
        <v>-40.91860686390829</v>
      </c>
    </row>
    <row r="9" spans="1:6" x14ac:dyDescent="0.25">
      <c r="A9" s="30">
        <v>0.083973</v>
      </c>
      <c r="B9" s="31">
        <v>-46.28066958501139</v>
      </c>
      <c r="C9" s="31">
        <v>-46.1450968858816</v>
      </c>
      <c r="D9" s="31">
        <v>-46.00952418675181</v>
      </c>
      <c r="E9" s="31">
        <v>-45.87395148762203</v>
      </c>
      <c r="F9" s="31">
        <v>-45.73837878849224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14669000000</v>
      </c>
      <c r="C5" s="18">
        <v>13441000000</v>
      </c>
      <c r="D5" s="18">
        <v>14206000000</v>
      </c>
      <c r="E5" s="18">
        <v>15310000000</v>
      </c>
      <c r="F5" s="8" t="s">
        <v>84</v>
      </c>
    </row>
    <row r="6" spans="1:6" x14ac:dyDescent="0.25">
      <c r="A6" t="s">
        <v>44</v>
      </c>
      <c r="B6" s="18">
        <v>2879000000</v>
      </c>
      <c r="C6" s="18">
        <v>2386000000</v>
      </c>
      <c r="D6" s="18">
        <v>2588000000</v>
      </c>
      <c r="E6" s="18">
        <v>2428000000</v>
      </c>
      <c r="F6" s="8" t="s">
        <v>85</v>
      </c>
    </row>
    <row r="7" spans="1:6" x14ac:dyDescent="0.25">
      <c r="A7" t="s">
        <v>86</v>
      </c>
      <c r="B7" s="18">
        <v>3082000000</v>
      </c>
      <c r="C7" s="18">
        <v>2875000000</v>
      </c>
      <c r="D7" s="18">
        <v>2567000000</v>
      </c>
      <c r="E7" s="18">
        <v>2554000000</v>
      </c>
      <c r="F7" s="8" t="s">
        <v>87</v>
      </c>
    </row>
    <row r="8" spans="1:6" x14ac:dyDescent="0.25">
      <c r="A8" t="s">
        <v>88</v>
      </c>
      <c r="B8" s="18">
        <v>10908000000</v>
      </c>
      <c r="C8" s="18">
        <v>7364000000</v>
      </c>
      <c r="D8" s="18">
        <v>5854000000</v>
      </c>
      <c r="E8" s="18">
        <v>4638000000</v>
      </c>
      <c r="F8" s="8" t="s">
        <v>89</v>
      </c>
    </row>
    <row r="9" spans="1:6" x14ac:dyDescent="0.25">
      <c r="A9" t="s">
        <v>90</v>
      </c>
      <c r="B9" s="18">
        <v>1112000000</v>
      </c>
      <c r="C9" s="18">
        <v>172000000</v>
      </c>
      <c r="D9" s="18">
        <v>-1192000000</v>
      </c>
      <c r="E9" s="18">
        <v>115000000</v>
      </c>
      <c r="F9" s="8" t="s">
        <v>91</v>
      </c>
    </row>
    <row r="10" spans="1:6" x14ac:dyDescent="0.25">
      <c r="A10" t="s">
        <v>92</v>
      </c>
      <c r="B10" s="18">
        <v>34781000000</v>
      </c>
      <c r="C10" s="18">
        <v>30208000000</v>
      </c>
      <c r="D10" s="18">
        <v>27514000000</v>
      </c>
      <c r="E10" s="18">
        <v>26032000000</v>
      </c>
      <c r="F10" s="8" t="s">
        <v>93</v>
      </c>
    </row>
    <row r="11" spans="1:6" x14ac:dyDescent="0.25">
      <c r="A11" t="s">
        <v>94</v>
      </c>
      <c r="B11" s="18">
        <v>274000000</v>
      </c>
      <c r="C11" s="18">
        <v>179000000</v>
      </c>
      <c r="D11" s="18">
        <v>129000000</v>
      </c>
      <c r="E11" s="18">
        <v>111000000</v>
      </c>
      <c r="F11" s="8" t="s">
        <v>95</v>
      </c>
    </row>
    <row r="12" spans="1:6" x14ac:dyDescent="0.25">
      <c r="A12" t="s">
        <v>32</v>
      </c>
      <c r="B12" s="34">
        <v>589000000</v>
      </c>
      <c r="C12" s="34">
        <v>563000000</v>
      </c>
      <c r="D12" s="34">
        <v>552000000</v>
      </c>
      <c r="E12" s="34">
        <v>547000000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