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<sst xmlns="http://schemas.openxmlformats.org/spreadsheetml/2006/main" count="121" uniqueCount="108">
  <si>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Xcel Energy Inc. (XEL)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</si>
  <si>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</si>
  <si>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</si>
  <si>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</si>
  <si>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</si>
  <si>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</si>
  <si>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</si>
  <si>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</si>
  <si>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</si>
  <si>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</si>
  <si>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</si>
  <si>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</si>
  <si>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</si>
  <si>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</si>
  <si>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</si>
  <si>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</si>
  <si>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</si>
  <si>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</si>
  <si>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</si>
  <si>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</si>
  <si>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</si>
  <si>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</si>
  <si>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</si>
  <si>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</si>
  <si>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2.1x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</si>
  <si>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</si>
  <si>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</si>
  <si>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</si>
  <si>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</si>
  <si>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</si>
  <si>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</si>
  <si>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</si>
  <si>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</si>
  <si>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</si>
  <si>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</si>
  <si>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</si>
  <si>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</si>
  <si>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</si>
  <si>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</si>
  <si>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</si>
  <si>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</si>
  <si>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</si>
  <si>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</si>
  <si>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</si>
  <si>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</si>
  <si>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</si>
  <si>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</si>
  <si>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</si>
  <si>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</si>
  <si>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</si>
  <si>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</si>
  <si>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</si>
  <si>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</si>
  <si>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</si>
  <si>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</si>
  <si>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</si>
  <si>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</si>
  <si>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</si>
  <si>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</si>
  <si>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</si>
  <si>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</si>
  <si>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</si>
  <si>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</si>
  <si>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</si>
  <si>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</si>
  <si>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</si>
  <si>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</si>
  <si>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</si>
  <si>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</si>
  <si>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</si>
  <si>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</si>
  <si>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</si>
  <si>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</si>
  <si>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</si>
  <si>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</si>
  <si>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</si>
  <si>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</si>
  <si>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</si>
  <si>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</si>
  <si>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</si>
  <si>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</si>
  <si>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</si>
  <si>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</si>
  <si>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</si>
  <si>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</si>
  <si>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</si>
  <si>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</si>
  <si>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</si>
  <si>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</si>
  <si>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</si>
  <si>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</si>
  <si>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</si>
  <si>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</si>
  <si>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</si>
  <si>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</si>
  <si>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</si>
  <si>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</si>
  <si>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</si>
  <si>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</si>
  <si>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</si>
  <si>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</si>
  <si>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</si>
  <si>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</si>
  <si>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</si>
  <si>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</si>
  <si>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</si>
  <si>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50.2% of revenue against depreciation of 19.3%.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</si>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</sst>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0.05782343649873889</v>
      </c>
    </row>
    <row r="7" spans="1:2" x14ac:dyDescent="0.25">
      <c r="A7" t="s">
        <v>4</v>
      </c>
      <c r="B7" s="5">
        <v>0.17863662176341172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0.19287952065703368</v>
      </c>
    </row>
    <row r="10" spans="1:3" x14ac:dyDescent="0.25">
      <c r="A10" t="s">
        <v>7</v>
      </c>
      <c r="B10" s="5">
        <v>0.5016258829620998</v>
      </c>
      <c r="C10" s="6" t="s">
        <v>8</v>
      </c>
    </row>
    <row r="11" spans="1:2" x14ac:dyDescent="0.25">
      <c r="A11" t="s">
        <v>9</v>
      </c>
      <c r="B11" s="5">
        <v>0.01713367043164332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14.38373069753397</v>
      </c>
    </row>
    <row r="14" spans="1:3" x14ac:dyDescent="0.25">
      <c r="A14" t="s">
        <v>12</v>
      </c>
      <c r="B14" s="5">
        <v>0.06527321754039717</v>
      </c>
      <c r="C14" s="6" t="s">
        <v>13</v>
      </c>
    </row>
    <row r="15" spans="1:3" x14ac:dyDescent="0.25">
      <c r="A15" t="s">
        <v>14</v>
      </c>
      <c r="B15" s="5">
        <v>0.19287952065703368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0.5799099999999999</v>
      </c>
      <c r="C19" s="6" t="s">
        <v>21</v>
      </c>
    </row>
    <row r="20" spans="1:2" x14ac:dyDescent="0.25">
      <c r="A20" t="s">
        <v>22</v>
      </c>
      <c r="B20" s="9">
        <f>B17+B19*B18</f>
        <v>0.073470193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51234418688</v>
      </c>
    </row>
    <row r="23" spans="1:2" x14ac:dyDescent="0.25">
      <c r="A23" t="s">
        <v>26</v>
      </c>
      <c r="B23" s="10">
        <v>34781000000</v>
      </c>
    </row>
    <row r="24" spans="1:2" x14ac:dyDescent="0.25">
      <c r="A24" t="s">
        <v>27</v>
      </c>
      <c r="B24" s="9">
        <f>B22/(B22+B23)</f>
        <v>0.5956422635555654</v>
      </c>
    </row>
    <row r="25" spans="1:2" x14ac:dyDescent="0.25">
      <c r="A25" t="s">
        <v>28</v>
      </c>
      <c r="B25" s="9">
        <f>1-B24</f>
        <v>0.4043577364444346</v>
      </c>
    </row>
    <row r="26" spans="1:2" x14ac:dyDescent="0.25">
      <c r="A26" t="s">
        <v>29</v>
      </c>
      <c r="B26" s="11">
        <f>B24*B20+B25*B21*(1-B8)</f>
        <v>0.06527321754039717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14669000000</v>
      </c>
      <c r="C29" s="6" t="s">
        <v>32</v>
      </c>
    </row>
    <row r="30" spans="1:2" x14ac:dyDescent="0.25">
      <c r="A30" t="s">
        <v>33</v>
      </c>
      <c r="B30" s="10">
        <v>34507000000</v>
      </c>
    </row>
    <row r="31" spans="1:2" x14ac:dyDescent="0.25">
      <c r="A31" t="s">
        <v>34</v>
      </c>
      <c r="B31" s="12">
        <v>589000000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0.05782343649873889</v>
      </c>
      <c r="C5" s="5">
        <v>0.10559273283473392</v>
      </c>
      <c r="D5" s="5">
        <v>0.09551864123039218</v>
      </c>
      <c r="E5" s="5">
        <v>0.08544454962605044</v>
      </c>
      <c r="F5" s="5">
        <v>0.07537045802170869</v>
      </c>
      <c r="G5" s="5">
        <v>0.06529636641736696</v>
      </c>
      <c r="H5" s="5">
        <v>0.05522227481302522</v>
      </c>
      <c r="I5" s="5">
        <v>0.045148183208683475</v>
      </c>
      <c r="J5" s="5">
        <v>0.03507409160434173</v>
      </c>
      <c r="K5" s="5">
        <v>0.024999999999999994</v>
      </c>
    </row>
    <row r="6" spans="1:11" x14ac:dyDescent="0.25">
      <c r="A6" t="s">
        <v>50</v>
      </c>
      <c r="B6" s="18">
        <f>Assumptions!B29*(1+B5)</f>
        <v>15517211990</v>
      </c>
      <c r="C6" s="18">
        <f>B6*(1+C5)</f>
        <v>17155716810</v>
      </c>
      <c r="D6" s="18">
        <f>C6*(1+D5)</f>
        <v>18794407569.024597</v>
      </c>
      <c r="E6" s="18">
        <f>D6*(1+E5)</f>
        <v>20400287259.24834</v>
      </c>
      <c r="F6" s="18">
        <f>E6*(1+F5)</f>
        <v>21937866253.752316</v>
      </c>
      <c r="G6" s="18">
        <f>F6*(1+G5)</f>
        <v>23370329207.072514</v>
      </c>
      <c r="H6" s="18">
        <f>G6*(1+H5)</f>
        <v>24660891949.016346</v>
      </c>
      <c r="I6" s="18">
        <f>H6*(1+I5)</f>
        <v>25774286416.820084</v>
      </c>
      <c r="J6" s="18">
        <f>I6*(1+J5)</f>
        <v>26678296099.64017</v>
      </c>
      <c r="K6" s="18">
        <f>J6*(1+K5)</f>
        <v>27345253502.131172</v>
      </c>
    </row>
    <row r="7" spans="1:11" x14ac:dyDescent="0.25">
      <c r="A7" t="s">
        <v>4</v>
      </c>
      <c r="B7" s="9">
        <f>Assumptions!B7</f>
        <v>0.17863662176341172</v>
      </c>
      <c r="C7" s="9">
        <f>Assumptions!B7</f>
        <v>0.17863662176341172</v>
      </c>
      <c r="D7" s="9">
        <f>Assumptions!B7</f>
        <v>0.17863662176341172</v>
      </c>
      <c r="E7" s="9">
        <f>Assumptions!B7</f>
        <v>0.17863662176341172</v>
      </c>
      <c r="F7" s="9">
        <f>Assumptions!B7</f>
        <v>0.17863662176341172</v>
      </c>
      <c r="G7" s="9">
        <f>Assumptions!B7</f>
        <v>0.17863662176341172</v>
      </c>
      <c r="H7" s="9">
        <f>Assumptions!B7</f>
        <v>0.17863662176341172</v>
      </c>
      <c r="I7" s="9">
        <f>Assumptions!B7</f>
        <v>0.17863662176341172</v>
      </c>
      <c r="J7" s="9">
        <f>Assumptions!B7</f>
        <v>0.17863662176341172</v>
      </c>
      <c r="K7" s="9">
        <f>Assumptions!B7</f>
        <v>0.17863662176341172</v>
      </c>
    </row>
    <row r="8" spans="1:11" x14ac:dyDescent="0.25">
      <c r="A8" t="s">
        <v>51</v>
      </c>
      <c r="B8" s="18">
        <f>B6*B7</f>
        <v>2771942329.0803075</v>
      </c>
      <c r="C8" s="18">
        <f>C6*C7</f>
        <v>3064639294.868174</v>
      </c>
      <c r="D8" s="18">
        <f>D6*D7</f>
        <v>3357369476.175249</v>
      </c>
      <c r="E8" s="18">
        <f>E6*E7</f>
        <v>3644238398.995293</v>
      </c>
      <c r="F8" s="18">
        <f>F6*F7</f>
        <v>3918906316.2678666</v>
      </c>
      <c r="G8" s="18">
        <f>G6*G7</f>
        <v>4174796659.050226</v>
      </c>
      <c r="H8" s="18">
        <f>H6*H7</f>
        <v>4405338427.444798</v>
      </c>
      <c r="I8" s="18">
        <f>I6*I7</f>
        <v>4604231453.86333</v>
      </c>
      <c r="J8" s="18">
        <f>J6*J7</f>
        <v>4765720689.6437235</v>
      </c>
      <c r="K8" s="18">
        <f>K6*K7</f>
        <v>4884863706.884816</v>
      </c>
    </row>
    <row r="9" spans="1:11" x14ac:dyDescent="0.25">
      <c r="A9" t="s">
        <v>52</v>
      </c>
      <c r="B9" s="18">
        <f>B8*(1-Assumptions!B8)</f>
        <v>2189834439.973443</v>
      </c>
      <c r="C9" s="18">
        <f>C8*(1-Assumptions!B8)</f>
        <v>2421065042.9458575</v>
      </c>
      <c r="D9" s="18">
        <f>D8*(1-Assumptions!B8)</f>
        <v>2652321886.178447</v>
      </c>
      <c r="E9" s="18">
        <f>E8*(1-Assumptions!B8)</f>
        <v>2878948335.2062817</v>
      </c>
      <c r="F9" s="18">
        <f>F8*(1-Assumptions!B8)</f>
        <v>3095935989.851615</v>
      </c>
      <c r="G9" s="18">
        <f>G8*(1-Assumptions!B8)</f>
        <v>3298089360.6496787</v>
      </c>
      <c r="H9" s="18">
        <f>H8*(1-Assumptions!B8)</f>
        <v>3480217357.681391</v>
      </c>
      <c r="I9" s="18">
        <f>I8*(1-Assumptions!B8)</f>
        <v>3637342848.5520306</v>
      </c>
      <c r="J9" s="18">
        <f>J8*(1-Assumptions!B8)</f>
        <v>3764919344.8185415</v>
      </c>
      <c r="K9" s="18">
        <f>K8*(1-Assumptions!B8)</f>
        <v>3859042328.439005</v>
      </c>
    </row>
    <row r="10" spans="1:11" x14ac:dyDescent="0.25">
      <c r="A10" t="s">
        <v>53</v>
      </c>
      <c r="B10" s="18">
        <f>B6*Assumptions!B9</f>
        <v>2992952410.5647755</v>
      </c>
      <c r="C10" s="18">
        <f>C6*Assumptions!B9</f>
        <v>3308986434.840615</v>
      </c>
      <c r="D10" s="18">
        <f>D6*Assumptions!B9</f>
        <v>3625056322.9463897</v>
      </c>
      <c r="E10" s="18">
        <f>E6*Assumptions!B9</f>
        <v>3934797627.8296113</v>
      </c>
      <c r="F10" s="18">
        <f>F6*Assumptions!B9</f>
        <v>4231365127.261862</v>
      </c>
      <c r="G10" s="18">
        <f>G6*Assumptions!B9</f>
        <v>4507657895.05722</v>
      </c>
      <c r="H10" s="18">
        <f>H6*Assumptions!B9</f>
        <v>4756581018.101173</v>
      </c>
      <c r="I10" s="18">
        <f>I6*Assumptions!B9</f>
        <v>4971332009.353352</v>
      </c>
      <c r="J10" s="18">
        <f>J6*Assumptions!B9</f>
        <v>5145696963.645007</v>
      </c>
      <c r="K10" s="18">
        <f>K6*Assumptions!B9</f>
        <v>5274339387.736132</v>
      </c>
    </row>
    <row r="11" spans="1:11" x14ac:dyDescent="0.25">
      <c r="A11" t="s">
        <v>54</v>
      </c>
      <c r="B11" s="18">
        <f>-B6*B19</f>
        <v>-7783835165.593831</v>
      </c>
      <c r="C11" s="18">
        <f>-C6*C19</f>
        <v>-8120253372.719252</v>
      </c>
      <c r="D11" s="18">
        <f>-D6*D19</f>
        <v>-8364016591.094274</v>
      </c>
      <c r="E11" s="18">
        <f>-E6*E19</f>
        <v>-8501358278.127248</v>
      </c>
      <c r="F11" s="18">
        <f>-F6*F19</f>
        <v>-8521278883.860804</v>
      </c>
      <c r="G11" s="18">
        <f>-G6*G19</f>
        <v>-8416318784.354261</v>
      </c>
      <c r="H11" s="18">
        <f>-H6*H19</f>
        <v>-8183196124.101829</v>
      </c>
      <c r="I11" s="18">
        <f>-I6*I19</f>
        <v>-7823253125.343689</v>
      </c>
      <c r="J11" s="18">
        <f>-J6*J19</f>
        <v>-7342664162.848747</v>
      </c>
      <c r="K11" s="18">
        <f>-K6*K19</f>
        <v>-6752373746.1813345</v>
      </c>
    </row>
    <row r="12" spans="1:11" x14ac:dyDescent="0.25">
      <c r="A12" t="s">
        <v>55</v>
      </c>
      <c r="B12" s="18">
        <f>-(B6-Assumptions!B29)*Assumptions!B11</f>
        <v>-14532984.692828339</v>
      </c>
      <c r="C12" s="18">
        <f>-(C6-B6)*Assumptions!B11</f>
        <v>-28073601.586539056</v>
      </c>
      <c r="D12" s="18">
        <f>-(D6-C6)*Assumptions!B11</f>
        <v>-28076787.40450689</v>
      </c>
      <c r="E12" s="18">
        <f>-(E6-D6)*Assumptions!B11</f>
        <v>-27514613.365163084</v>
      </c>
      <c r="F12" s="18">
        <f>-(F6-E6)*Assumptions!B11</f>
        <v>-26344371.75444862</v>
      </c>
      <c r="G12" s="18">
        <f>-(G6-F6)*Assumptions!B11</f>
        <v>-24543348.14772674</v>
      </c>
      <c r="H12" s="18">
        <f>-(H6-G6)*Assumptions!B11</f>
        <v>-22112076.69182357</v>
      </c>
      <c r="I12" s="18">
        <f>-(I6-H6)*Assumptions!B11</f>
        <v>-19076533.87176415</v>
      </c>
      <c r="J12" s="18">
        <f>-(J6-I6)*Assumptions!B11</f>
        <v>-15489003.972453786</v>
      </c>
      <c r="K12" s="18">
        <f>-(K6-J6)*Assumptions!B11</f>
        <v>-11427428.326225698</v>
      </c>
    </row>
    <row r="13" spans="1:11" x14ac:dyDescent="0.25">
      <c r="A13" s="19" t="s">
        <v>56</v>
      </c>
      <c r="B13" s="20">
        <f>B9+B10+B11+B12</f>
        <v>-2615581299.7484407</v>
      </c>
      <c r="C13" s="20">
        <f>C9+C10+C11+C12</f>
        <v>-2418275496.5193186</v>
      </c>
      <c r="D13" s="20">
        <f>D9+D10+D11+D12</f>
        <v>-2114715169.3739445</v>
      </c>
      <c r="E13" s="20">
        <f>E9+E10+E11+E12</f>
        <v>-1715126928.4565184</v>
      </c>
      <c r="F13" s="20">
        <f>F9+F10+F11+F12</f>
        <v>-1220322138.5017755</v>
      </c>
      <c r="G13" s="20">
        <f>G9+G10+G11+G12</f>
        <v>-635114876.7950885</v>
      </c>
      <c r="H13" s="20">
        <f>H9+H10+H11+H12</f>
        <v>31490174.98891202</v>
      </c>
      <c r="I13" s="20">
        <f>I9+I10+I11+I12</f>
        <v>766345198.689929</v>
      </c>
      <c r="J13" s="20">
        <f>J9+J10+J11+J12</f>
        <v>1552463141.6423476</v>
      </c>
      <c r="K13" s="20">
        <f>K9+K10+K11+K12</f>
        <v>2369580541.6675763</v>
      </c>
    </row>
    <row r="14" spans="1:11" x14ac:dyDescent="0.25">
      <c r="A14" t="s">
        <v>57</v>
      </c>
      <c r="B14" s="21">
        <f>1/(1+Assumptions!$B$26)^(1-0.5*Assumptions!$B$32)</f>
        <v>0.9688788949867841</v>
      </c>
      <c r="C14" s="21">
        <f>1/(1+Assumptions!$B$26)^(2-0.5*Assumptions!$B$32)</f>
        <v>0.9095121129805768</v>
      </c>
      <c r="D14" s="21">
        <f>1/(1+Assumptions!$B$26)^(3-0.5*Assumptions!$B$32)</f>
        <v>0.8537829525842617</v>
      </c>
      <c r="E14" s="21">
        <f>1/(1+Assumptions!$B$26)^(4-0.5*Assumptions!$B$32)</f>
        <v>0.8014685233104386</v>
      </c>
      <c r="F14" s="21">
        <f>1/(1+Assumptions!$B$26)^(5-0.5*Assumptions!$B$32)</f>
        <v>0.7523595919936337</v>
      </c>
      <c r="G14" s="21">
        <f>1/(1+Assumptions!$B$26)^(6-0.5*Assumptions!$B$32)</f>
        <v>0.706259745955833</v>
      </c>
      <c r="H14" s="21">
        <f>1/(1+Assumptions!$B$26)^(7-0.5*Assumptions!$B$32)</f>
        <v>0.6629846074479482</v>
      </c>
      <c r="I14" s="21">
        <f>1/(1+Assumptions!$B$26)^(8-0.5*Assumptions!$B$32)</f>
        <v>0.6223610962253507</v>
      </c>
      <c r="J14" s="21">
        <f>1/(1+Assumptions!$B$26)^(9-0.5*Assumptions!$B$32)</f>
        <v>0.5842267373081214</v>
      </c>
      <c r="K14" s="21">
        <f>1/(1+Assumptions!$B$26)^(10-0.5*Assumptions!$B$32)</f>
        <v>0.5484290111573807</v>
      </c>
    </row>
    <row r="15" spans="1:11" x14ac:dyDescent="0.25">
      <c r="A15" s="19" t="s">
        <v>58</v>
      </c>
      <c r="B15" s="20">
        <f>B13*B14</f>
        <v>-2534181519.4483657</v>
      </c>
      <c r="C15" s="20">
        <f>C13*C14</f>
        <v>-2199450856.608439</v>
      </c>
      <c r="D15" s="20">
        <f>D13*D14</f>
        <v>-1805507761.1828134</v>
      </c>
      <c r="E15" s="20">
        <f>E13*E14</f>
        <v>-1374620246.6400142</v>
      </c>
      <c r="F15" s="20">
        <f>F13*F14</f>
        <v>-918121066.2239944</v>
      </c>
      <c r="G15" s="20">
        <f>G13*G14</f>
        <v>-448556071.53806937</v>
      </c>
      <c r="H15" s="20">
        <f>H13*H14</f>
        <v>20877501.30349103</v>
      </c>
      <c r="I15" s="20">
        <f>I13*I14</f>
        <v>476943437.94369847</v>
      </c>
      <c r="J15" s="20">
        <f>J13*J14</f>
        <v>906990476.0328246</v>
      </c>
      <c r="K15" s="20">
        <f>K13*K14</f>
        <v>1299546713.3245194</v>
      </c>
    </row>
    <row r="17" spans="1:2" x14ac:dyDescent="0.25">
      <c r="A17" s="22" t="s">
        <v>59</v>
      </c>
      <c r="B17" s="23">
        <f>SUM(B15:K15)</f>
        <v>-6576079393.037163</v>
      </c>
    </row>
    <row r="19" spans="1:11" x14ac:dyDescent="0.25">
      <c r="A19" t="s">
        <v>7</v>
      </c>
      <c r="B19" s="9">
        <f>Assumptions!$B$10+($B$20-Assumptions!$B$10)*0/9</f>
        <v>0.5016258829620998</v>
      </c>
      <c r="C19" s="9">
        <f>Assumptions!$B$10+($B$20-Assumptions!$B$10)*1/9</f>
        <v>0.4733263822579531</v>
      </c>
      <c r="D19" s="9">
        <f>Assumptions!$B$10+($B$20-Assumptions!$B$10)*2/9</f>
        <v>0.4450268815538065</v>
      </c>
      <c r="E19" s="9">
        <f>Assumptions!$B$10+($B$20-Assumptions!$B$10)*3/9</f>
        <v>0.4167273808496599</v>
      </c>
      <c r="F19" s="9">
        <f>Assumptions!$B$10+($B$20-Assumptions!$B$10)*4/9</f>
        <v>0.3884278801455132</v>
      </c>
      <c r="G19" s="9">
        <f>Assumptions!$B$10+($B$20-Assumptions!$B$10)*5/9</f>
        <v>0.36012837944136655</v>
      </c>
      <c r="H19" s="9">
        <f>Assumptions!$B$10+($B$20-Assumptions!$B$10)*6/9</f>
        <v>0.33182887873721995</v>
      </c>
      <c r="I19" s="9">
        <f>Assumptions!$B$10+($B$20-Assumptions!$B$10)*7/9</f>
        <v>0.3035293780330733</v>
      </c>
      <c r="J19" s="9">
        <f>Assumptions!$B$10+($B$20-Assumptions!$B$10)*8/9</f>
        <v>0.2752298773289267</v>
      </c>
      <c r="K19" s="9">
        <f>Assumptions!$B$10+($B$20-Assumptions!$B$10)*9/9</f>
        <v>0.24693037662478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0.24693037662478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2369580541.6675763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3859042328.439005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0.3830054797670678</v>
      </c>
    </row>
    <row r="7" spans="1:2" x14ac:dyDescent="0.25">
      <c r="A7" t="s">
        <v>66</v>
      </c>
      <c r="B7" s="18">
        <f>-MAX(B5,0)*B6</f>
        <v>-1478034358.4452035</v>
      </c>
    </row>
    <row r="8" spans="1:2" x14ac:dyDescent="0.25">
      <c r="A8" t="s">
        <v>67</v>
      </c>
      <c r="B8" s="18">
        <f>IF(OR(Assumptions!$B$33=0,Assumptions!B12&lt;=0),B5,MAX(B5+B7,0))</f>
        <v>2381007969.993801</v>
      </c>
    </row>
    <row r="9" spans="1:2" x14ac:dyDescent="0.25">
      <c r="A9" t="s">
        <v>68</v>
      </c>
      <c r="B9" s="18">
        <f>B8*(1+Assumptions!B12)/(Assumptions!B26-Assumptions!B12)</f>
        <v>60599408696.253334</v>
      </c>
    </row>
    <row r="10" spans="1:2" x14ac:dyDescent="0.25">
      <c r="A10" t="s">
        <v>69</v>
      </c>
      <c r="B10" s="18">
        <f>B9/(1+Assumptions!B26)^(10-0.5*Assumptions!B32)</f>
        <v>33234473788.008194</v>
      </c>
    </row>
    <row r="11" spans="1:2" x14ac:dyDescent="0.25">
      <c r="A11" t="s">
        <v>70</v>
      </c>
      <c r="B11" s="18">
        <f>Forecast!B17+B10</f>
        <v>26658394394.97103</v>
      </c>
    </row>
    <row r="12" spans="1:2" x14ac:dyDescent="0.25">
      <c r="A12" t="s">
        <v>71</v>
      </c>
      <c r="B12" s="18">
        <f>-Assumptions!B30</f>
        <v>-34507000000</v>
      </c>
    </row>
    <row r="13" spans="1:2" x14ac:dyDescent="0.25">
      <c r="A13" t="s">
        <v>72</v>
      </c>
      <c r="B13" s="18">
        <f>B11+B12</f>
        <v>-7848605605.028969</v>
      </c>
    </row>
    <row r="14" spans="1:2" x14ac:dyDescent="0.25">
      <c r="A14" s="19" t="s">
        <v>73</v>
      </c>
      <c r="B14" s="24">
        <f>B13/Assumptions!B31</f>
        <v>-13.325306629930337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10159203094.620949</v>
      </c>
    </row>
    <row r="18" spans="1:2" x14ac:dyDescent="0.25">
      <c r="A18" t="s">
        <v>68</v>
      </c>
      <c r="B18" s="18">
        <f>B17*Assumptions!B13</f>
        <v>146127241414.58145</v>
      </c>
    </row>
    <row r="19" spans="1:2" x14ac:dyDescent="0.25">
      <c r="A19" t="s">
        <v>69</v>
      </c>
      <c r="B19" s="18">
        <f>B18/(1+Assumptions!B26)^(10-0.5*Assumptions!B32)</f>
        <v>80140418512.15475</v>
      </c>
    </row>
    <row r="20" spans="1:2" x14ac:dyDescent="0.25">
      <c r="A20" t="s">
        <v>70</v>
      </c>
      <c r="B20" s="18">
        <f>Forecast!B17+B19</f>
        <v>73564339119.11758</v>
      </c>
    </row>
    <row r="21" spans="1:2" x14ac:dyDescent="0.25">
      <c r="A21" t="s">
        <v>71</v>
      </c>
      <c r="B21" s="18">
        <f>-Assumptions!B30</f>
        <v>-34507000000</v>
      </c>
    </row>
    <row r="22" spans="1:2" x14ac:dyDescent="0.25">
      <c r="A22" t="s">
        <v>72</v>
      </c>
      <c r="B22" s="18">
        <f>B20+B21</f>
        <v>39057339119.117584</v>
      </c>
    </row>
    <row r="23" spans="1:2" x14ac:dyDescent="0.25">
      <c r="A23" s="19" t="s">
        <v>73</v>
      </c>
      <c r="B23" s="25">
        <f>B22/Assumptions!B31</f>
        <v>66.31127184909607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79.82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-13.325306629930337</v>
      </c>
    </row>
    <row r="29" spans="1:2" x14ac:dyDescent="0.25">
      <c r="A29" s="19" t="s">
        <v>81</v>
      </c>
      <c r="B29" s="11">
        <f>B28/B26-1</f>
        <v>-1.1669419522667295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0.045273</v>
      </c>
      <c r="B5" s="31">
        <v>27.973820052307218</v>
      </c>
      <c r="C5" s="31">
        <v>26.055381448681764</v>
      </c>
      <c r="D5" s="31">
        <v>24.136942845056296</v>
      </c>
      <c r="E5" s="31">
        <v>22.218504241430868</v>
      </c>
      <c r="F5" s="31">
        <v>20.300065637805336</v>
      </c>
    </row>
    <row r="6" spans="1:6" x14ac:dyDescent="0.25">
      <c r="A6" s="30">
        <v>0.055273</v>
      </c>
      <c r="B6" s="31">
        <v>4.748948601133751</v>
      </c>
      <c r="C6" s="31">
        <v>3.267647568238574</v>
      </c>
      <c r="D6" s="31">
        <v>1.7863465353433838</v>
      </c>
      <c r="E6" s="31">
        <v>0.30504550244823253</v>
      </c>
      <c r="F6" s="31">
        <v>-1.1762555304469577</v>
      </c>
    </row>
    <row r="7" spans="1:6" x14ac:dyDescent="0.25">
      <c r="A7" s="30">
        <v>0.065273</v>
      </c>
      <c r="B7" s="31">
        <v>-10.957961450188382</v>
      </c>
      <c r="C7" s="31">
        <v>-12.14149686699212</v>
      </c>
      <c r="D7" s="32">
        <v>-13.325032283795874</v>
      </c>
      <c r="E7" s="31">
        <v>-14.508567700599619</v>
      </c>
      <c r="F7" s="31">
        <v>-15.692103117403377</v>
      </c>
    </row>
    <row r="8" spans="1:6" x14ac:dyDescent="0.25">
      <c r="A8" s="30">
        <v>0.075273</v>
      </c>
      <c r="B8" s="31">
        <v>-22.170608295296596</v>
      </c>
      <c r="C8" s="31">
        <v>-23.139814604329022</v>
      </c>
      <c r="D8" s="31">
        <v>-24.10902091336145</v>
      </c>
      <c r="E8" s="31">
        <v>-25.078227222393885</v>
      </c>
      <c r="F8" s="31">
        <v>-26.047433531426325</v>
      </c>
    </row>
    <row r="9" spans="1:6" x14ac:dyDescent="0.25">
      <c r="A9" s="30">
        <v>0.085273</v>
      </c>
      <c r="B9" s="31">
        <v>-30.49215125651938</v>
      </c>
      <c r="C9" s="31">
        <v>-31.300799628548276</v>
      </c>
      <c r="D9" s="31">
        <v>-32.109448000577196</v>
      </c>
      <c r="E9" s="31">
        <v>-32.91809637260612</v>
      </c>
      <c r="F9" s="31">
        <v>-33.72674474463503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14669000000</v>
      </c>
      <c r="C5" s="18">
        <v>13441000000</v>
      </c>
      <c r="D5" s="18">
        <v>14206000000</v>
      </c>
      <c r="E5" s="18">
        <v>15310000000</v>
      </c>
      <c r="F5" s="6" t="s">
        <v>91</v>
      </c>
    </row>
    <row r="6" spans="1:6" x14ac:dyDescent="0.25">
      <c r="A6" t="s">
        <v>51</v>
      </c>
      <c r="B6" s="18">
        <v>2879000000</v>
      </c>
      <c r="C6" s="18">
        <v>2386000000</v>
      </c>
      <c r="D6" s="18">
        <v>2588000000</v>
      </c>
      <c r="E6" s="18">
        <v>2428000000</v>
      </c>
      <c r="F6" s="6" t="s">
        <v>92</v>
      </c>
    </row>
    <row r="7" spans="1:6" x14ac:dyDescent="0.25">
      <c r="A7" t="s">
        <v>93</v>
      </c>
      <c r="B7" s="18">
        <v>3082000000</v>
      </c>
      <c r="C7" s="18">
        <v>2875000000</v>
      </c>
      <c r="D7" s="18">
        <v>2567000000</v>
      </c>
      <c r="E7" s="18">
        <v>2554000000</v>
      </c>
      <c r="F7" s="6" t="s">
        <v>94</v>
      </c>
    </row>
    <row r="8" spans="1:6" x14ac:dyDescent="0.25">
      <c r="A8" t="s">
        <v>95</v>
      </c>
      <c r="B8" s="18">
        <v>10908000000</v>
      </c>
      <c r="C8" s="18">
        <v>7364000000</v>
      </c>
      <c r="D8" s="18">
        <v>5854000000</v>
      </c>
      <c r="E8" s="18">
        <v>4638000000</v>
      </c>
      <c r="F8" s="6" t="s">
        <v>96</v>
      </c>
    </row>
    <row r="9" spans="1:6" x14ac:dyDescent="0.25">
      <c r="A9" t="s">
        <v>97</v>
      </c>
      <c r="B9" s="18">
        <v>1112000000</v>
      </c>
      <c r="C9" s="18">
        <v>172000000</v>
      </c>
      <c r="D9" s="18">
        <v>-1192000000</v>
      </c>
      <c r="E9" s="18">
        <v>115000000</v>
      </c>
      <c r="F9" s="6" t="s">
        <v>98</v>
      </c>
    </row>
    <row r="10" spans="1:6" x14ac:dyDescent="0.25">
      <c r="A10" t="s">
        <v>99</v>
      </c>
      <c r="B10" s="18">
        <v>34781000000</v>
      </c>
      <c r="C10" s="18">
        <v>30208000000</v>
      </c>
      <c r="D10" s="18">
        <v>27514000000</v>
      </c>
      <c r="E10" s="18">
        <v>26032000000</v>
      </c>
      <c r="F10" s="6" t="s">
        <v>100</v>
      </c>
    </row>
    <row r="11" spans="1:6" x14ac:dyDescent="0.25">
      <c r="A11" t="s">
        <v>101</v>
      </c>
      <c r="B11" s="18">
        <v>274000000</v>
      </c>
      <c r="C11" s="18">
        <v>179000000</v>
      </c>
      <c r="D11" s="18">
        <v>129000000</v>
      </c>
      <c r="E11" s="18">
        <v>111000000</v>
      </c>
      <c r="F11" s="6" t="s">
        <v>102</v>
      </c>
    </row>
    <row r="12" spans="1:6" x14ac:dyDescent="0.25">
      <c r="A12" t="s">
        <v>34</v>
      </c>
      <c r="B12" s="34">
        <v>589000000</v>
      </c>
      <c r="C12" s="34">
        <v>563000000</v>
      </c>
      <c r="D12" s="34">
        <v>552000000</v>
      </c>
      <c r="E12" s="34">
        <v>547000000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