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<sst xmlns="http://schemas.openxmlformats.org/spreadsheetml/2006/main" count="111" uniqueCount="99">
  <si>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ExxonMobil Holdings Corporation (XOM)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</si>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</sst>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-0.06688991546295975</v>
      </c>
    </row>
    <row r="7" spans="1:2" x14ac:dyDescent="0.25">
      <c r="A7" t="s">
        <v>5</v>
      </c>
      <c r="B7" s="6">
        <v>0.12877539310943864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0.06782984541210979</v>
      </c>
    </row>
    <row r="10" spans="1:2" x14ac:dyDescent="0.25">
      <c r="A10" t="s">
        <v>8</v>
      </c>
      <c r="B10" s="6">
        <v>0.06771419946463765</v>
      </c>
    </row>
    <row r="11" spans="1:2" x14ac:dyDescent="0.25">
      <c r="A11" t="s">
        <v>9</v>
      </c>
      <c r="B11" s="6">
        <v>-0.06650723686267154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11.768835459978975</v>
      </c>
    </row>
    <row r="14" spans="1:3" x14ac:dyDescent="0.25">
      <c r="A14" t="s">
        <v>12</v>
      </c>
      <c r="B14" s="6">
        <v>0.12436488881607372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0.4472499999999999</v>
      </c>
      <c r="C19" s="8" t="s">
        <v>19</v>
      </c>
    </row>
    <row r="20" spans="1:2" x14ac:dyDescent="0.25">
      <c r="A20" t="s">
        <v>20</v>
      </c>
      <c r="B20" s="10">
        <f>B17+B19*B18</f>
        <v>0.07457875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672462077952</v>
      </c>
    </row>
    <row r="23" spans="1:2" x14ac:dyDescent="0.25">
      <c r="A23" t="s">
        <v>24</v>
      </c>
      <c r="B23" s="11">
        <v>43537000000</v>
      </c>
    </row>
    <row r="24" spans="1:2" x14ac:dyDescent="0.25">
      <c r="A24" t="s">
        <v>25</v>
      </c>
      <c r="B24" s="10">
        <f>B22/(B22+B23)</f>
        <v>0.939194055773744</v>
      </c>
    </row>
    <row r="25" spans="1:2" x14ac:dyDescent="0.25">
      <c r="A25" t="s">
        <v>26</v>
      </c>
      <c r="B25" s="10">
        <f>1-B24</f>
        <v>0.06080594422625596</v>
      </c>
    </row>
    <row r="26" spans="1:2" x14ac:dyDescent="0.25">
      <c r="A26" t="s">
        <v>27</v>
      </c>
      <c r="B26" s="12">
        <f>B24*B20+B25*B21*(1-B8)</f>
        <v>0.07244479275005446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323905000000</v>
      </c>
      <c r="C29" s="8" t="s">
        <v>30</v>
      </c>
    </row>
    <row r="30" spans="1:2" x14ac:dyDescent="0.25">
      <c r="A30" t="s">
        <v>31</v>
      </c>
      <c r="B30" s="11">
        <v>32856000000</v>
      </c>
    </row>
    <row r="31" spans="1:2" x14ac:dyDescent="0.25">
      <c r="A31" t="s">
        <v>32</v>
      </c>
      <c r="B31" s="13">
        <v>4305074627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-0.06688991546295975</v>
      </c>
      <c r="C5" s="10">
        <f>Assumptions!B6</f>
        <v>-0.06688991546295975</v>
      </c>
      <c r="D5" s="10">
        <f>Assumptions!B6</f>
        <v>-0.06688991546295975</v>
      </c>
      <c r="E5" s="10">
        <f>Assumptions!B6</f>
        <v>-0.06688991546295975</v>
      </c>
      <c r="F5" s="10">
        <f>Assumptions!B6</f>
        <v>-0.06688991546295975</v>
      </c>
    </row>
    <row r="6" spans="1:6" x14ac:dyDescent="0.25">
      <c r="A6" t="s">
        <v>43</v>
      </c>
      <c r="B6" s="18">
        <f>Assumptions!B29*(1+B5)</f>
        <v>302239021931.97003</v>
      </c>
      <c r="C6" s="18">
        <f>B6*(1+C5)</f>
        <v>282022279305.33295</v>
      </c>
      <c r="D6" s="18">
        <f>C6*(1+D5)</f>
        <v>263157832883.928</v>
      </c>
      <c r="E6" s="18">
        <f>D6*(1+E5)</f>
        <v>245555227688.90637</v>
      </c>
      <c r="F6" s="18">
        <f>E6*(1+F5)</f>
        <v>229130059267.3076</v>
      </c>
    </row>
    <row r="7" spans="1:6" x14ac:dyDescent="0.25">
      <c r="A7" t="s">
        <v>5</v>
      </c>
      <c r="B7" s="10">
        <f>Assumptions!B7</f>
        <v>0.12877539310943864</v>
      </c>
      <c r="C7" s="10">
        <f>Assumptions!B7</f>
        <v>0.12877539310943864</v>
      </c>
      <c r="D7" s="10">
        <f>Assumptions!B7</f>
        <v>0.12877539310943864</v>
      </c>
      <c r="E7" s="10">
        <f>Assumptions!B7</f>
        <v>0.12877539310943864</v>
      </c>
      <c r="F7" s="10">
        <f>Assumptions!B7</f>
        <v>0.12877539310943864</v>
      </c>
    </row>
    <row r="8" spans="1:6" x14ac:dyDescent="0.25">
      <c r="A8" t="s">
        <v>44</v>
      </c>
      <c r="B8" s="18">
        <f>B6*B7</f>
        <v>38920948862.30169</v>
      </c>
      <c r="C8" s="18">
        <f>C6*C7</f>
        <v>36317529883.164154</v>
      </c>
      <c r="D8" s="18">
        <f>D6*D7</f>
        <v>33888253379.455788</v>
      </c>
      <c r="E8" s="18">
        <f>E6*E7</f>
        <v>31621470975.71663</v>
      </c>
      <c r="F8" s="18">
        <f>F6*F7</f>
        <v>29506313455.33651</v>
      </c>
    </row>
    <row r="9" spans="1:6" x14ac:dyDescent="0.25">
      <c r="A9" t="s">
        <v>45</v>
      </c>
      <c r="B9" s="18">
        <f>B8*(1-Assumptions!B8)</f>
        <v>30747549601.218334</v>
      </c>
      <c r="C9" s="18">
        <f>C8*(1-Assumptions!B8)</f>
        <v>28690848607.699684</v>
      </c>
      <c r="D9" s="18">
        <f>D8*(1-Assumptions!B8)</f>
        <v>26771720169.770073</v>
      </c>
      <c r="E9" s="18">
        <f>E8*(1-Assumptions!B8)</f>
        <v>24980962070.81614</v>
      </c>
      <c r="F9" s="18">
        <f>F8*(1-Assumptions!B8)</f>
        <v>23309987629.715843</v>
      </c>
    </row>
    <row r="10" spans="1:6" x14ac:dyDescent="0.25">
      <c r="A10" t="s">
        <v>46</v>
      </c>
      <c r="B10" s="18">
        <f>B6*Assumptions!B9</f>
        <v>20500826135.152786</v>
      </c>
      <c r="C10" s="18">
        <f>C6*Assumptions!B9</f>
        <v>19129527608.051582</v>
      </c>
      <c r="D10" s="18">
        <f>D6*Assumptions!B9</f>
        <v>17849955123.50266</v>
      </c>
      <c r="E10" s="18">
        <f>E6*Assumptions!B9</f>
        <v>16655973134.273941</v>
      </c>
      <c r="F10" s="18">
        <f>F6*Assumptions!B9</f>
        <v>15541856499.369028</v>
      </c>
    </row>
    <row r="11" spans="1:6" x14ac:dyDescent="0.25">
      <c r="A11" t="s">
        <v>47</v>
      </c>
      <c r="B11" s="18">
        <f>-B6*Assumptions!B10</f>
        <v>-20465873417.09841</v>
      </c>
      <c r="C11" s="18">
        <f>-C6*Assumptions!B10</f>
        <v>-19096912874.353065</v>
      </c>
      <c r="D11" s="18">
        <f>-D6*Assumptions!B10</f>
        <v>-17819521986.584084</v>
      </c>
      <c r="E11" s="18">
        <f>-E6*Assumptions!B10</f>
        <v>-16627575667.311121</v>
      </c>
      <c r="F11" s="18">
        <f>-F6*Assumptions!B10</f>
        <v>-15515358536.570713</v>
      </c>
    </row>
    <row r="12" spans="1:6" x14ac:dyDescent="0.25">
      <c r="A12" t="s">
        <v>48</v>
      </c>
      <c r="B12" s="18">
        <f>-(B6-Assumptions!B29)*Assumptions!B11</f>
        <v>-1440944335.231916</v>
      </c>
      <c r="C12" s="18">
        <f>-(C6-B6)*Assumptions!B11</f>
        <v>-1344559690.461421</v>
      </c>
      <c r="D12" s="18">
        <f>-(D6-C6)*Assumptions!B11</f>
        <v>-1254622206.4315548</v>
      </c>
      <c r="E12" s="18">
        <f>-(E6-D6)*Assumptions!B11</f>
        <v>-1170700633.1053965</v>
      </c>
      <c r="F12" s="18">
        <f>-(F6-E6)*Assumptions!B11</f>
        <v>-1092392566.7245433</v>
      </c>
    </row>
    <row r="13" spans="1:6" x14ac:dyDescent="0.25">
      <c r="A13" s="19" t="s">
        <v>49</v>
      </c>
      <c r="B13" s="20">
        <f>B9+B10+B11+B12</f>
        <v>29341557984.0408</v>
      </c>
      <c r="C13" s="20">
        <f>C9+C10+C11+C12</f>
        <v>27378903650.93678</v>
      </c>
      <c r="D13" s="20">
        <f>D9+D10+D11+D12</f>
        <v>25547531100.257095</v>
      </c>
      <c r="E13" s="20">
        <f>E9+E10+E11+E12</f>
        <v>23838658904.673565</v>
      </c>
      <c r="F13" s="20">
        <f>F9+F10+F11+F12</f>
        <v>22244093025.78961</v>
      </c>
    </row>
    <row r="14" spans="1:6" x14ac:dyDescent="0.25">
      <c r="A14" t="s">
        <v>50</v>
      </c>
      <c r="B14" s="21">
        <f>1/(1+Assumptions!$B$26)^(1-0.5*Assumptions!$B$32)</f>
        <v>0.9656339526348865</v>
      </c>
      <c r="C14" s="21">
        <f>1/(1+Assumptions!$B$26)^(2-0.5*Assumptions!$B$32)</f>
        <v>0.9004043463708054</v>
      </c>
      <c r="D14" s="21">
        <f>1/(1+Assumptions!$B$26)^(3-0.5*Assumptions!$B$32)</f>
        <v>0.8395810697741481</v>
      </c>
      <c r="E14" s="21">
        <f>1/(1+Assumptions!$B$26)^(4-0.5*Assumptions!$B$32)</f>
        <v>0.7828664705632284</v>
      </c>
      <c r="F14" s="21">
        <f>1/(1+Assumptions!$B$26)^(5-0.5*Assumptions!$B$32)</f>
        <v>0.7299830031863322</v>
      </c>
    </row>
    <row r="15" spans="1:6" x14ac:dyDescent="0.25">
      <c r="A15" s="19" t="s">
        <v>51</v>
      </c>
      <c r="B15" s="20">
        <f>B13*B14</f>
        <v>28333204612.595028</v>
      </c>
      <c r="C15" s="20">
        <f>C13*C14</f>
        <v>24652083846.170986</v>
      </c>
      <c r="D15" s="20">
        <f>D13*D14</f>
        <v>21449223491.242172</v>
      </c>
      <c r="E15" s="20">
        <f>E13*E14</f>
        <v>18662486759.66247</v>
      </c>
      <c r="F15" s="20">
        <f>F13*F14</f>
        <v>16237809830.12205</v>
      </c>
    </row>
    <row r="17" spans="1:2" x14ac:dyDescent="0.25">
      <c r="A17" s="22" t="s">
        <v>52</v>
      </c>
      <c r="B17" s="23">
        <f>SUM(B15:F15)</f>
        <v>109334808539.79271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22244093025.78961</v>
      </c>
    </row>
    <row r="5" spans="1:2" x14ac:dyDescent="0.25">
      <c r="A5" t="s">
        <v>56</v>
      </c>
      <c r="B5" s="18">
        <f>IF(Assumptions!$B$33=0,B4,B4-Forecast!F11-Forecast!F10-Forecast!F12)</f>
        <v>23309987629.715843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0.2010213673488915</v>
      </c>
    </row>
    <row r="7" spans="1:2" x14ac:dyDescent="0.25">
      <c r="A7" t="s">
        <v>58</v>
      </c>
      <c r="B7" s="18">
        <f>-MAX(Forecast!F9,0)*B6</f>
        <v>-4685805586.2112255</v>
      </c>
    </row>
    <row r="8" spans="1:2" x14ac:dyDescent="0.25">
      <c r="A8" t="s">
        <v>59</v>
      </c>
      <c r="B8" s="18">
        <f>IF(OR(Assumptions!$B$33=0,Assumptions!B12&lt;=0),B5,MAX(B5+B7,0))</f>
        <v>18624182043.504616</v>
      </c>
    </row>
    <row r="9" spans="1:2" x14ac:dyDescent="0.25">
      <c r="A9" t="s">
        <v>60</v>
      </c>
      <c r="B9" s="18">
        <f>B8*(1+Assumptions!B12)/(Assumptions!B26-Assumptions!B12)</f>
        <v>402357887727.7384</v>
      </c>
    </row>
    <row r="10" spans="1:2" x14ac:dyDescent="0.25">
      <c r="A10" t="s">
        <v>61</v>
      </c>
      <c r="B10" s="18">
        <f>B9/(1+Assumptions!B26)^(5-0.5*Assumptions!B32)</f>
        <v>293714419239.20355</v>
      </c>
    </row>
    <row r="11" spans="1:2" x14ac:dyDescent="0.25">
      <c r="A11" t="s">
        <v>62</v>
      </c>
      <c r="B11" s="18">
        <f>Forecast!B17+B10</f>
        <v>403049227778.9963</v>
      </c>
    </row>
    <row r="12" spans="1:2" x14ac:dyDescent="0.25">
      <c r="A12" t="s">
        <v>63</v>
      </c>
      <c r="B12" s="18">
        <f>-Assumptions!B30</f>
        <v>-32856000000</v>
      </c>
    </row>
    <row r="13" spans="1:2" x14ac:dyDescent="0.25">
      <c r="A13" t="s">
        <v>64</v>
      </c>
      <c r="B13" s="18">
        <f>B11+B12</f>
        <v>370193227778.9963</v>
      </c>
    </row>
    <row r="14" spans="1:2" x14ac:dyDescent="0.25">
      <c r="A14" s="19" t="s">
        <v>65</v>
      </c>
      <c r="B14" s="24">
        <f>B13/Assumptions!B31</f>
        <v>85.98996762036764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45048169954.705536</v>
      </c>
    </row>
    <row r="18" spans="1:2" x14ac:dyDescent="0.25">
      <c r="A18" t="s">
        <v>60</v>
      </c>
      <c r="B18" s="18">
        <f>B17*Assumptions!B13</f>
        <v>530164499970.09796</v>
      </c>
    </row>
    <row r="19" spans="1:2" x14ac:dyDescent="0.25">
      <c r="A19" t="s">
        <v>61</v>
      </c>
      <c r="B19" s="18">
        <f>B18/(1+Assumptions!B26)^(5-0.5*Assumptions!B32)</f>
        <v>387011073870.9523</v>
      </c>
    </row>
    <row r="20" spans="1:2" x14ac:dyDescent="0.25">
      <c r="A20" t="s">
        <v>62</v>
      </c>
      <c r="B20" s="18">
        <f>Forecast!B17+B19</f>
        <v>496345882410.745</v>
      </c>
    </row>
    <row r="21" spans="1:2" x14ac:dyDescent="0.25">
      <c r="A21" t="s">
        <v>63</v>
      </c>
      <c r="B21" s="18">
        <f>-Assumptions!B30</f>
        <v>-32856000000</v>
      </c>
    </row>
    <row r="22" spans="1:2" x14ac:dyDescent="0.25">
      <c r="A22" t="s">
        <v>64</v>
      </c>
      <c r="B22" s="18">
        <f>B20+B21</f>
        <v>463489882410.745</v>
      </c>
    </row>
    <row r="23" spans="1:2" x14ac:dyDescent="0.25">
      <c r="A23" s="19" t="s">
        <v>65</v>
      </c>
      <c r="B23" s="25">
        <f>B22/Assumptions!B31</f>
        <v>107.66128872746832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163.54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85.98996762036764</v>
      </c>
    </row>
    <row r="29" spans="1:2" x14ac:dyDescent="0.25">
      <c r="A29" s="19" t="s">
        <v>73</v>
      </c>
      <c r="B29" s="12">
        <f>B28/B26-1</f>
        <v>-0.4741961133645124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0.052445</v>
      </c>
      <c r="B5" s="31">
        <v>121.40524485379859</v>
      </c>
      <c r="C5" s="31">
        <v>132.35384023163024</v>
      </c>
      <c r="D5" s="31">
        <v>147.2287023748499</v>
      </c>
      <c r="E5" s="31">
        <v>168.65375649980072</v>
      </c>
      <c r="F5" s="31">
        <v>202.26115392353435</v>
      </c>
    </row>
    <row r="6" spans="1:6" x14ac:dyDescent="0.25">
      <c r="A6" s="30">
        <v>0.062445</v>
      </c>
      <c r="B6" s="31">
        <v>95.86173658365526</v>
      </c>
      <c r="C6" s="31">
        <v>101.44218392936993</v>
      </c>
      <c r="D6" s="31">
        <v>108.46867132591063</v>
      </c>
      <c r="E6" s="31">
        <v>117.60973323967883</v>
      </c>
      <c r="F6" s="31">
        <v>130.02108538422556</v>
      </c>
    </row>
    <row r="7" spans="1:6" x14ac:dyDescent="0.25">
      <c r="A7" s="30">
        <v>0.072445</v>
      </c>
      <c r="B7" s="31">
        <v>79.17883347570532</v>
      </c>
      <c r="C7" s="31">
        <v>82.27470408050127</v>
      </c>
      <c r="D7" s="32">
        <v>85.9895993531687</v>
      </c>
      <c r="E7" s="31">
        <v>90.54228169253149</v>
      </c>
      <c r="F7" s="31">
        <v>96.26835814894154</v>
      </c>
    </row>
    <row r="8" spans="1:6" x14ac:dyDescent="0.25">
      <c r="A8" s="30">
        <v>0.082445</v>
      </c>
      <c r="B8" s="31">
        <v>67.41657909491477</v>
      </c>
      <c r="C8" s="31">
        <v>69.2110348832385</v>
      </c>
      <c r="D8" s="31">
        <v>71.29133764694153</v>
      </c>
      <c r="E8" s="31">
        <v>73.73924359978483</v>
      </c>
      <c r="F8" s="31">
        <v>76.67097252967233</v>
      </c>
    </row>
    <row r="9" spans="1:6" x14ac:dyDescent="0.25">
      <c r="A9" s="30">
        <v>0.092445</v>
      </c>
      <c r="B9" s="31">
        <v>58.66991979959995</v>
      </c>
      <c r="C9" s="31">
        <v>59.72500447962619</v>
      </c>
      <c r="D9" s="31">
        <v>60.91484414860493</v>
      </c>
      <c r="E9" s="31">
        <v>62.27180848920558</v>
      </c>
      <c r="F9" s="31">
        <v>63.8395369839649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323905000000</v>
      </c>
      <c r="C5" s="18">
        <v>339247000000</v>
      </c>
      <c r="D5" s="18">
        <v>334697000000</v>
      </c>
      <c r="E5" s="18">
        <v>398675000000</v>
      </c>
      <c r="F5" s="8" t="s">
        <v>84</v>
      </c>
    </row>
    <row r="6" spans="1:6" x14ac:dyDescent="0.25">
      <c r="A6" t="s">
        <v>44</v>
      </c>
      <c r="B6" s="18">
        <v>33938000000</v>
      </c>
      <c r="C6" s="18">
        <v>39652000000</v>
      </c>
      <c r="D6" s="18">
        <v>44461000000</v>
      </c>
      <c r="E6" s="18">
        <v>64028000000</v>
      </c>
      <c r="F6" s="8" t="s">
        <v>85</v>
      </c>
    </row>
    <row r="7" spans="1:6" x14ac:dyDescent="0.25">
      <c r="A7" t="s">
        <v>86</v>
      </c>
      <c r="B7" s="18">
        <v>25993000000</v>
      </c>
      <c r="C7" s="18">
        <v>23442000000</v>
      </c>
      <c r="D7" s="18">
        <v>20641000000</v>
      </c>
      <c r="E7" s="18">
        <v>24040000000</v>
      </c>
      <c r="F7" s="8" t="s">
        <v>87</v>
      </c>
    </row>
    <row r="8" spans="1:6" x14ac:dyDescent="0.25">
      <c r="A8" t="s">
        <v>88</v>
      </c>
      <c r="B8" s="18">
        <v>28358000000</v>
      </c>
      <c r="C8" s="18">
        <v>24306000000</v>
      </c>
      <c r="D8" s="18">
        <v>21919000000</v>
      </c>
      <c r="E8" s="18">
        <v>18407000000</v>
      </c>
      <c r="F8" s="8" t="s">
        <v>89</v>
      </c>
    </row>
    <row r="9" spans="1:6" x14ac:dyDescent="0.25">
      <c r="A9" t="s">
        <v>90</v>
      </c>
      <c r="B9" s="18">
        <v>7728000000</v>
      </c>
      <c r="C9" s="18">
        <v>1826000000</v>
      </c>
      <c r="D9" s="18">
        <v>4255000000</v>
      </c>
      <c r="E9" s="18">
        <v>194000000</v>
      </c>
      <c r="F9" s="8" t="s">
        <v>91</v>
      </c>
    </row>
    <row r="10" spans="1:6" x14ac:dyDescent="0.25">
      <c r="A10" t="s">
        <v>92</v>
      </c>
      <c r="B10" s="18">
        <v>43537000000</v>
      </c>
      <c r="C10" s="18">
        <v>41710000000</v>
      </c>
      <c r="D10" s="18">
        <v>41573000000</v>
      </c>
      <c r="E10" s="18">
        <v>41193000000</v>
      </c>
      <c r="F10" s="8" t="s">
        <v>93</v>
      </c>
    </row>
    <row r="11" spans="1:6" x14ac:dyDescent="0.25">
      <c r="A11" t="s">
        <v>94</v>
      </c>
      <c r="B11" s="18">
        <v>10681000000</v>
      </c>
      <c r="C11" s="18">
        <v>23029000000</v>
      </c>
      <c r="D11" s="18">
        <v>31539000000</v>
      </c>
      <c r="E11" s="18">
        <v>29640000000</v>
      </c>
      <c r="F11" s="8" t="s">
        <v>95</v>
      </c>
    </row>
    <row r="12" spans="1:6" x14ac:dyDescent="0.25">
      <c r="A12" t="s">
        <v>32</v>
      </c>
      <c r="B12" s="34">
        <v>4305074627</v>
      </c>
      <c r="C12" s="34">
        <v>4298000000</v>
      </c>
      <c r="D12" s="34">
        <v>4052000000</v>
      </c>
      <c r="E12" s="34">
        <v>4205000000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2026-09-19T00:07:13Z</dcterms:modified>
</cp:coreProperties>
</file>