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<sst xmlns="http://schemas.openxmlformats.org/spreadsheetml/2006/main" count="119" uniqueCount="106">
  <si>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ExxonMobil Holdings Corporation (XOM)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</si>
  <si>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</si>
  <si>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</si>
  <si>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</si>
  <si>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</si>
  <si>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</si>
  <si>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</si>
  <si>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</si>
  <si>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</si>
  <si>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</si>
  <si>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</si>
  <si>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</si>
  <si>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</si>
  <si>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</si>
  <si>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</si>
  <si>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</si>
  <si>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</si>
  <si>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</si>
  <si>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</si>
  <si>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</si>
  <si>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</si>
  <si>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</si>
  <si>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</si>
  <si>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</si>
  <si>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56.3x interest cover. Book interest / average debt was lower, at 1.4%.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</si>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</sst>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0.3122033881539341</v>
      </c>
    </row>
    <row r="7" spans="1:2" x14ac:dyDescent="0.25">
      <c r="A7" t="s">
        <v>4</v>
      </c>
      <c r="B7" s="5">
        <v>0.12877539310943864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0.06782984541210979</v>
      </c>
    </row>
    <row r="10" spans="1:3" x14ac:dyDescent="0.25">
      <c r="A10" t="s">
        <v>7</v>
      </c>
      <c r="B10" s="5">
        <v>0.06771419946463765</v>
      </c>
      <c r="C10" s="6" t="s">
        <v>8</v>
      </c>
    </row>
    <row r="11" spans="1:2" x14ac:dyDescent="0.25">
      <c r="A11" t="s">
        <v>9</v>
      </c>
      <c r="B11" s="5">
        <v>0.06950177232403468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12.776859207822328</v>
      </c>
    </row>
    <row r="14" spans="1:3" x14ac:dyDescent="0.25">
      <c r="A14" t="s">
        <v>12</v>
      </c>
      <c r="B14" s="5">
        <v>0.12436488881607372</v>
      </c>
      <c r="C14" s="6" t="s">
        <v>13</v>
      </c>
    </row>
    <row r="15" spans="1:3" x14ac:dyDescent="0.25">
      <c r="A15" t="s">
        <v>14</v>
      </c>
      <c r="B15" s="5">
        <v>0.06782984541210979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0.42446999999999996</v>
      </c>
      <c r="C19" s="6" t="s">
        <v>21</v>
      </c>
    </row>
    <row r="20" spans="1:2" x14ac:dyDescent="0.25">
      <c r="A20" t="s">
        <v>22</v>
      </c>
      <c r="B20" s="9">
        <f>B17+B19*B18</f>
        <v>0.066895081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732873949184</v>
      </c>
    </row>
    <row r="23" spans="1:2" x14ac:dyDescent="0.25">
      <c r="A23" t="s">
        <v>26</v>
      </c>
      <c r="B23" s="10">
        <v>43537000000</v>
      </c>
    </row>
    <row r="24" spans="1:2" x14ac:dyDescent="0.25">
      <c r="A24" t="s">
        <v>27</v>
      </c>
      <c r="B24" s="9">
        <f>B22/(B22+B23)</f>
        <v>0.9439253142349977</v>
      </c>
    </row>
    <row r="25" spans="1:2" x14ac:dyDescent="0.25">
      <c r="A25" t="s">
        <v>28</v>
      </c>
      <c r="B25" s="9">
        <f>1-B24</f>
        <v>0.0560746857650023</v>
      </c>
    </row>
    <row r="26" spans="1:2" x14ac:dyDescent="0.25">
      <c r="A26" t="s">
        <v>29</v>
      </c>
      <c r="B26" s="11">
        <f>B24*B20+B25*B21*(1-B8)</f>
        <v>0.06548914950657601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323905000000</v>
      </c>
      <c r="C29" s="6" t="s">
        <v>32</v>
      </c>
    </row>
    <row r="30" spans="1:2" x14ac:dyDescent="0.25">
      <c r="A30" t="s">
        <v>33</v>
      </c>
      <c r="B30" s="10">
        <v>32856000000</v>
      </c>
    </row>
    <row r="31" spans="1:2" x14ac:dyDescent="0.25">
      <c r="A31" t="s">
        <v>34</v>
      </c>
      <c r="B31" s="12">
        <v>4305074627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0.3122033881539341</v>
      </c>
      <c r="C5" s="5">
        <v>0.013909381485609495</v>
      </c>
      <c r="D5" s="5">
        <v>0.015295708799908308</v>
      </c>
      <c r="E5" s="5">
        <v>0.01668203611420712</v>
      </c>
      <c r="F5" s="5">
        <v>0.018068363428505936</v>
      </c>
      <c r="G5" s="5">
        <v>0.01945469074280475</v>
      </c>
      <c r="H5" s="5">
        <v>0.02084101805710356</v>
      </c>
      <c r="I5" s="5">
        <v>0.022227345371402377</v>
      </c>
      <c r="J5" s="5">
        <v>0.02361367268570119</v>
      </c>
      <c r="K5" s="5">
        <v>0.025</v>
      </c>
    </row>
    <row r="6" spans="1:11" x14ac:dyDescent="0.25">
      <c r="A6" t="s">
        <v>50</v>
      </c>
      <c r="B6" s="18">
        <f>Assumptions!B29*(1+B5)</f>
        <v>425029238440</v>
      </c>
      <c r="C6" s="18">
        <f>B6*(1+C5)</f>
        <v>430941132260.00006</v>
      </c>
      <c r="D6" s="18">
        <f>C6*(1+D5)</f>
        <v>437532682328.95184</v>
      </c>
      <c r="E6" s="18">
        <f>D6*(1+E5)</f>
        <v>444831618336.7093</v>
      </c>
      <c r="F6" s="18">
        <f>E6*(1+F5)</f>
        <v>452868997681.3074</v>
      </c>
      <c r="G6" s="18">
        <f>F6*(1+G5)</f>
        <v>461679423978.2012</v>
      </c>
      <c r="H6" s="18">
        <f>G6*(1+H5)</f>
        <v>471301293189.924</v>
      </c>
      <c r="I6" s="18">
        <f>H6*(1+I5)</f>
        <v>481777069807.645</v>
      </c>
      <c r="J6" s="18">
        <f>I6*(1+J5)</f>
        <v>493153595841.55896</v>
      </c>
      <c r="K6" s="18">
        <f>J6*(1+K5)</f>
        <v>505482435737.5979</v>
      </c>
    </row>
    <row r="7" spans="1:11" x14ac:dyDescent="0.25">
      <c r="A7" t="s">
        <v>4</v>
      </c>
      <c r="B7" s="9">
        <f>Assumptions!B7</f>
        <v>0.12877539310943864</v>
      </c>
      <c r="C7" s="9">
        <f>Assumptions!B7</f>
        <v>0.12877539310943864</v>
      </c>
      <c r="D7" s="9">
        <f>Assumptions!B7</f>
        <v>0.12877539310943864</v>
      </c>
      <c r="E7" s="9">
        <f>Assumptions!B7</f>
        <v>0.12877539310943864</v>
      </c>
      <c r="F7" s="9">
        <f>Assumptions!B7</f>
        <v>0.12877539310943864</v>
      </c>
      <c r="G7" s="9">
        <f>Assumptions!B7</f>
        <v>0.12877539310943864</v>
      </c>
      <c r="H7" s="9">
        <f>Assumptions!B7</f>
        <v>0.12877539310943864</v>
      </c>
      <c r="I7" s="9">
        <f>Assumptions!B7</f>
        <v>0.12877539310943864</v>
      </c>
      <c r="J7" s="9">
        <f>Assumptions!B7</f>
        <v>0.12877539310943864</v>
      </c>
      <c r="K7" s="9">
        <f>Assumptions!B7</f>
        <v>0.12877539310943864</v>
      </c>
    </row>
    <row r="8" spans="1:11" x14ac:dyDescent="0.25">
      <c r="A8" t="s">
        <v>51</v>
      </c>
      <c r="B8" s="18">
        <f>B6*B7</f>
        <v>54733307263.116325</v>
      </c>
      <c r="C8" s="18">
        <f>C6*C7</f>
        <v>55494613713.8081</v>
      </c>
      <c r="D8" s="18">
        <f>D6*D7</f>
        <v>56343443165.13791</v>
      </c>
      <c r="E8" s="18">
        <f>E6*E7</f>
        <v>57283366518.81751</v>
      </c>
      <c r="F8" s="18">
        <f>F6*F7</f>
        <v>58318383203.487816</v>
      </c>
      <c r="G8" s="18">
        <f>G6*G7</f>
        <v>59452949313.33205</v>
      </c>
      <c r="H8" s="18">
        <f>H6*H7</f>
        <v>60692009303.519264</v>
      </c>
      <c r="I8" s="18">
        <f>I6*I7</f>
        <v>62041031555.59295</v>
      </c>
      <c r="J8" s="18">
        <f>J6*J7</f>
        <v>63506048167.82998</v>
      </c>
      <c r="K8" s="18">
        <f>K6*K7</f>
        <v>65093699372.02573</v>
      </c>
    </row>
    <row r="9" spans="1:11" x14ac:dyDescent="0.25">
      <c r="A9" t="s">
        <v>52</v>
      </c>
      <c r="B9" s="18">
        <f>B8*(1-Assumptions!B8)</f>
        <v>43239312737.8619</v>
      </c>
      <c r="C9" s="18">
        <f>C8*(1-Assumptions!B8)</f>
        <v>43840744833.9084</v>
      </c>
      <c r="D9" s="18">
        <f>D8*(1-Assumptions!B8)</f>
        <v>44511320100.458954</v>
      </c>
      <c r="E9" s="18">
        <f>E8*(1-Assumptions!B8)</f>
        <v>45253859549.86584</v>
      </c>
      <c r="F9" s="18">
        <f>F8*(1-Assumptions!B8)</f>
        <v>46071522730.75538</v>
      </c>
      <c r="G9" s="18">
        <f>G8*(1-Assumptions!B8)</f>
        <v>46967829957.53232</v>
      </c>
      <c r="H9" s="18">
        <f>H8*(1-Assumptions!B8)</f>
        <v>47946687349.78022</v>
      </c>
      <c r="I9" s="18">
        <f>I8*(1-Assumptions!B8)</f>
        <v>49012414928.918434</v>
      </c>
      <c r="J9" s="18">
        <f>J8*(1-Assumptions!B8)</f>
        <v>50169778052.585686</v>
      </c>
      <c r="K9" s="18">
        <f>K8*(1-Assumptions!B8)</f>
        <v>51424022503.90033</v>
      </c>
    </row>
    <row r="10" spans="1:11" x14ac:dyDescent="0.25">
      <c r="A10" t="s">
        <v>53</v>
      </c>
      <c r="B10" s="18">
        <f>B6*Assumptions!B9</f>
        <v>28829667539.01195</v>
      </c>
      <c r="C10" s="18">
        <f>C6*Assumptions!B9</f>
        <v>29230670382.915363</v>
      </c>
      <c r="D10" s="18">
        <f>D6*Assumptions!B9</f>
        <v>29677774205.118546</v>
      </c>
      <c r="E10" s="18">
        <f>E6*Assumptions!B9</f>
        <v>30172859906.197613</v>
      </c>
      <c r="F10" s="18">
        <f>F6*Assumptions!B9</f>
        <v>30718034104.660187</v>
      </c>
      <c r="G10" s="18">
        <f>G6*Assumptions!B9</f>
        <v>31315643958.39328</v>
      </c>
      <c r="H10" s="18">
        <f>H6*Assumptions!B9</f>
        <v>31968293859.59998</v>
      </c>
      <c r="I10" s="18">
        <f>I6*Assumptions!B9</f>
        <v>32678864168.15179</v>
      </c>
      <c r="J10" s="18">
        <f>J6*Assumptions!B9</f>
        <v>33450532170.359013</v>
      </c>
      <c r="K10" s="18">
        <f>K6*Assumptions!B9</f>
        <v>34286795474.61799</v>
      </c>
    </row>
    <row r="11" spans="1:11" x14ac:dyDescent="0.25">
      <c r="A11" t="s">
        <v>54</v>
      </c>
      <c r="B11" s="18">
        <f>-B6*B19</f>
        <v>-28780514630.029198</v>
      </c>
      <c r="C11" s="18">
        <f>-C6*C19</f>
        <v>-30165585239.331665</v>
      </c>
      <c r="D11" s="18">
        <f>-D6*D19</f>
        <v>-31626803170.34201</v>
      </c>
      <c r="E11" s="18">
        <f>-E6*E19</f>
        <v>-33170895498.39511</v>
      </c>
      <c r="F11" s="18">
        <f>-F6*F19</f>
        <v>-34805098511.23128</v>
      </c>
      <c r="G11" s="18">
        <f>-G6*G19</f>
        <v>-36537213022.80544</v>
      </c>
      <c r="H11" s="18">
        <f>-H6*H19</f>
        <v>-38375664932.00313</v>
      </c>
      <c r="I11" s="18">
        <f>-I6*I19</f>
        <v>-40329571671.61405</v>
      </c>
      <c r="J11" s="18">
        <f>-J6*J19</f>
        <v>-42408815265.351135</v>
      </c>
      <c r="K11" s="18">
        <f>-K6*K19</f>
        <v>-44624122792.9322</v>
      </c>
    </row>
    <row r="12" spans="1:11" x14ac:dyDescent="0.25">
      <c r="A12" t="s">
        <v>55</v>
      </c>
      <c r="B12" s="18">
        <f>-(B6-Assumptions!B29)*Assumptions!B11</f>
        <v>-7028313796.498276</v>
      </c>
      <c r="C12" s="18">
        <f>-(C6-B6)*Assumptions!B11</f>
        <v>-410887098.2815119</v>
      </c>
      <c r="D12" s="18">
        <f>-(D6-C6)*Assumptions!B11</f>
        <v>-458124412.15476185</v>
      </c>
      <c r="E12" s="18">
        <f>-(E6-D6)*Assumptions!B11</f>
        <v>-507288988.6188566</v>
      </c>
      <c r="F12" s="18">
        <f>-(F6-E6)*Assumptions!B11</f>
        <v>-558612109.290155</v>
      </c>
      <c r="G12" s="18">
        <f>-(G6-F6)*Assumptions!B11</f>
        <v>-612340242.5644008</v>
      </c>
      <c r="H12" s="18">
        <f>-(H6-G6)*Assumptions!B11</f>
        <v>-668736963.2847998</v>
      </c>
      <c r="I12" s="18">
        <f>-(I6-H6)*Assumptions!B11</f>
        <v>-728085041.4022915</v>
      </c>
      <c r="J12" s="18">
        <f>-(J6-I6)*Assumptions!B11</f>
        <v>-790688722.2475399</v>
      </c>
      <c r="K12" s="18">
        <f>-(K6-J6)*Assumptions!B11</f>
        <v>-856876223.4739738</v>
      </c>
    </row>
    <row r="13" spans="1:11" x14ac:dyDescent="0.25">
      <c r="A13" s="19" t="s">
        <v>56</v>
      </c>
      <c r="B13" s="20">
        <f>B9+B10+B11+B12</f>
        <v>36260151850.34638</v>
      </c>
      <c r="C13" s="20">
        <f>C9+C10+C11+C12</f>
        <v>42494942879.21059</v>
      </c>
      <c r="D13" s="20">
        <f>D9+D10+D11+D12</f>
        <v>42104166723.08073</v>
      </c>
      <c r="E13" s="20">
        <f>E9+E10+E11+E12</f>
        <v>41748534969.04948</v>
      </c>
      <c r="F13" s="20">
        <f>F9+F10+F11+F12</f>
        <v>41425846214.89413</v>
      </c>
      <c r="G13" s="20">
        <f>G9+G10+G11+G12</f>
        <v>41133920650.555756</v>
      </c>
      <c r="H13" s="20">
        <f>H9+H10+H11+H12</f>
        <v>40870579314.09228</v>
      </c>
      <c r="I13" s="20">
        <f>I9+I10+I11+I12</f>
        <v>40633622384.05388</v>
      </c>
      <c r="J13" s="20">
        <f>J9+J10+J11+J12</f>
        <v>40420806235.34602</v>
      </c>
      <c r="K13" s="20">
        <f>K9+K10+K11+K12</f>
        <v>40229818962.11214</v>
      </c>
    </row>
    <row r="14" spans="1:11" x14ac:dyDescent="0.25">
      <c r="A14" t="s">
        <v>57</v>
      </c>
      <c r="B14" s="21">
        <f>1/(1+Assumptions!$B$26)^(1-0.5*Assumptions!$B$32)</f>
        <v>0.9687807135432315</v>
      </c>
      <c r="C14" s="21">
        <f>1/(1+Assumptions!$B$26)^(2-0.5*Assumptions!$B$32)</f>
        <v>0.9092356444848549</v>
      </c>
      <c r="D14" s="21">
        <f>1/(1+Assumptions!$B$26)^(3-0.5*Assumptions!$B$32)</f>
        <v>0.8533504493273523</v>
      </c>
      <c r="E14" s="21">
        <f>1/(1+Assumptions!$B$26)^(4-0.5*Assumptions!$B$32)</f>
        <v>0.8009001778408871</v>
      </c>
      <c r="F14" s="21">
        <f>1/(1+Assumptions!$B$26)^(5-0.5*Assumptions!$B$32)</f>
        <v>0.7516737061205936</v>
      </c>
      <c r="G14" s="21">
        <f>1/(1+Assumptions!$B$26)^(6-0.5*Assumptions!$B$32)</f>
        <v>0.7054728867663184</v>
      </c>
      <c r="H14" s="21">
        <f>1/(1+Assumptions!$B$26)^(7-0.5*Assumptions!$B$32)</f>
        <v>0.6621117512956564</v>
      </c>
      <c r="I14" s="21">
        <f>1/(1+Assumptions!$B$26)^(8-0.5*Assumptions!$B$32)</f>
        <v>0.6214157615798133</v>
      </c>
      <c r="J14" s="21">
        <f>1/(1+Assumptions!$B$26)^(9-0.5*Assumptions!$B$32)</f>
        <v>0.5832211072891625</v>
      </c>
      <c r="K14" s="21">
        <f>1/(1+Assumptions!$B$26)^(10-0.5*Assumptions!$B$32)</f>
        <v>0.5473740465205582</v>
      </c>
    </row>
    <row r="15" spans="1:11" x14ac:dyDescent="0.25">
      <c r="A15" s="19" t="s">
        <v>58</v>
      </c>
      <c r="B15" s="20">
        <f>B13*B14</f>
        <v>35128135782.764496</v>
      </c>
      <c r="C15" s="20">
        <f>C13*C14</f>
        <v>38637916776.12614</v>
      </c>
      <c r="D15" s="20">
        <f>D13*D14</f>
        <v>35929609591.694695</v>
      </c>
      <c r="E15" s="20">
        <f>E13*E14</f>
        <v>33436409081.30822</v>
      </c>
      <c r="F15" s="20">
        <f>F13*F14</f>
        <v>31138719353.53123</v>
      </c>
      <c r="G15" s="20">
        <f>G13*G14</f>
        <v>29018865745.364246</v>
      </c>
      <c r="H15" s="20">
        <f>H13*H14</f>
        <v>27060890846.121662</v>
      </c>
      <c r="I15" s="20">
        <f>I13*I14</f>
        <v>25250373399.53339</v>
      </c>
      <c r="J15" s="20">
        <f>J13*J14</f>
        <v>23574267370.099194</v>
      </c>
      <c r="K15" s="20">
        <f>K13*K14</f>
        <v>22020758796.080803</v>
      </c>
    </row>
    <row r="17" spans="1:2" x14ac:dyDescent="0.25">
      <c r="A17" s="22" t="s">
        <v>59</v>
      </c>
      <c r="B17" s="23">
        <f>SUM(B15:K15)</f>
        <v>301195946742.6241</v>
      </c>
    </row>
    <row r="19" spans="1:11" x14ac:dyDescent="0.25">
      <c r="A19" t="s">
        <v>7</v>
      </c>
      <c r="B19" s="9">
        <f>Assumptions!$B$10+($B$20-Assumptions!$B$10)*0/9</f>
        <v>0.06771419946463765</v>
      </c>
      <c r="C19" s="9">
        <f>Assumptions!$B$10+($B$20-Assumptions!$B$10)*1/9</f>
        <v>0.06999931772846375</v>
      </c>
      <c r="D19" s="9">
        <f>Assumptions!$B$10+($B$20-Assumptions!$B$10)*2/9</f>
        <v>0.07228443599228986</v>
      </c>
      <c r="E19" s="9">
        <f>Assumptions!$B$10+($B$20-Assumptions!$B$10)*3/9</f>
        <v>0.07456955425611596</v>
      </c>
      <c r="F19" s="9">
        <f>Assumptions!$B$10+($B$20-Assumptions!$B$10)*4/9</f>
        <v>0.07685467251994206</v>
      </c>
      <c r="G19" s="9">
        <f>Assumptions!$B$10+($B$20-Assumptions!$B$10)*5/9</f>
        <v>0.07913979078376818</v>
      </c>
      <c r="H19" s="9">
        <f>Assumptions!$B$10+($B$20-Assumptions!$B$10)*6/9</f>
        <v>0.08142490904759428</v>
      </c>
      <c r="I19" s="9">
        <f>Assumptions!$B$10+($B$20-Assumptions!$B$10)*7/9</f>
        <v>0.08371002731142038</v>
      </c>
      <c r="J19" s="9">
        <f>Assumptions!$B$10+($B$20-Assumptions!$B$10)*8/9</f>
        <v>0.08599514557524648</v>
      </c>
      <c r="K19" s="9">
        <f>Assumptions!$B$10+($B$20-Assumptions!$B$10)*9/9</f>
        <v>0.08828026383907259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0.08828026383907259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40229818962.11214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51424022503.90033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0.2010213673488915</v>
      </c>
    </row>
    <row r="7" spans="1:2" x14ac:dyDescent="0.25">
      <c r="A7" t="s">
        <v>66</v>
      </c>
      <c r="B7" s="18">
        <f>-MAX(B5,0)*B6</f>
        <v>-10337327318.31421</v>
      </c>
    </row>
    <row r="8" spans="1:2" x14ac:dyDescent="0.25">
      <c r="A8" t="s">
        <v>67</v>
      </c>
      <c r="B8" s="18">
        <f>IF(OR(Assumptions!$B$33=0,Assumptions!B12&lt;=0),B5,MAX(B5+B7,0))</f>
        <v>41086695185.58612</v>
      </c>
    </row>
    <row r="9" spans="1:2" x14ac:dyDescent="0.25">
      <c r="A9" t="s">
        <v>68</v>
      </c>
      <c r="B9" s="18">
        <f>B8*(1+Assumptions!B12)/(Assumptions!B26-Assumptions!B12)</f>
        <v>1040127122413.0277</v>
      </c>
    </row>
    <row r="10" spans="1:2" x14ac:dyDescent="0.25">
      <c r="A10" t="s">
        <v>69</v>
      </c>
      <c r="B10" s="18">
        <f>B9/(1+Assumptions!B26)^(10-0.5*Assumptions!B32)</f>
        <v>569338591891.0029</v>
      </c>
    </row>
    <row r="11" spans="1:2" x14ac:dyDescent="0.25">
      <c r="A11" t="s">
        <v>70</v>
      </c>
      <c r="B11" s="18">
        <f>Forecast!B17+B10</f>
        <v>870534538633.627</v>
      </c>
    </row>
    <row r="12" spans="1:2" x14ac:dyDescent="0.25">
      <c r="A12" t="s">
        <v>71</v>
      </c>
      <c r="B12" s="18">
        <f>-Assumptions!B30</f>
        <v>-32856000000</v>
      </c>
    </row>
    <row r="13" spans="1:2" x14ac:dyDescent="0.25">
      <c r="A13" t="s">
        <v>72</v>
      </c>
      <c r="B13" s="18">
        <f>B11+B12</f>
        <v>837678538633.627</v>
      </c>
    </row>
    <row r="14" spans="1:2" x14ac:dyDescent="0.25">
      <c r="A14" s="19" t="s">
        <v>73</v>
      </c>
      <c r="B14" s="24">
        <f>B13/Assumptions!B31</f>
        <v>194.57933049057618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99380494846.6437</v>
      </c>
    </row>
    <row r="18" spans="1:2" x14ac:dyDescent="0.25">
      <c r="A18" t="s">
        <v>68</v>
      </c>
      <c r="B18" s="18">
        <f>B17*Assumptions!B13</f>
        <v>1269770590659.279</v>
      </c>
    </row>
    <row r="19" spans="1:2" x14ac:dyDescent="0.25">
      <c r="A19" t="s">
        <v>69</v>
      </c>
      <c r="B19" s="18">
        <f>B18/(1+Assumptions!B26)^(10-0.5*Assumptions!B32)</f>
        <v>695039466361.9689</v>
      </c>
    </row>
    <row r="20" spans="1:2" x14ac:dyDescent="0.25">
      <c r="A20" t="s">
        <v>70</v>
      </c>
      <c r="B20" s="18">
        <f>Forecast!B17+B19</f>
        <v>996235413104.593</v>
      </c>
    </row>
    <row r="21" spans="1:2" x14ac:dyDescent="0.25">
      <c r="A21" t="s">
        <v>71</v>
      </c>
      <c r="B21" s="18">
        <f>-Assumptions!B30</f>
        <v>-32856000000</v>
      </c>
    </row>
    <row r="22" spans="1:2" x14ac:dyDescent="0.25">
      <c r="A22" t="s">
        <v>72</v>
      </c>
      <c r="B22" s="18">
        <f>B20+B21</f>
        <v>963379413104.593</v>
      </c>
    </row>
    <row r="23" spans="1:2" x14ac:dyDescent="0.25">
      <c r="A23" s="19" t="s">
        <v>73</v>
      </c>
      <c r="B23" s="25">
        <f>B22/Assumptions!B31</f>
        <v>223.77763374009754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179.67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194.57933049057618</v>
      </c>
    </row>
    <row r="29" spans="1:2" x14ac:dyDescent="0.25">
      <c r="A29" s="19" t="s">
        <v>81</v>
      </c>
      <c r="B29" s="11">
        <f>B28/B26-1</f>
        <v>0.08298174703944006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0.045489</v>
      </c>
      <c r="B5" s="31">
        <v>301.1859083420651</v>
      </c>
      <c r="C5" s="31">
        <v>333.2245973539147</v>
      </c>
      <c r="D5" s="31">
        <v>381.56261173108584</v>
      </c>
      <c r="E5" s="31">
        <v>461.9846942251972</v>
      </c>
      <c r="F5" s="31">
        <v>620.3732951893907</v>
      </c>
    </row>
    <row r="6" spans="1:6" x14ac:dyDescent="0.25">
      <c r="A6" s="30">
        <v>0.055489</v>
      </c>
      <c r="B6" s="31">
        <v>226.17662811369422</v>
      </c>
      <c r="C6" s="31">
        <v>239.44138191633004</v>
      </c>
      <c r="D6" s="31">
        <v>257.476969153602</v>
      </c>
      <c r="E6" s="31">
        <v>283.09097354866697</v>
      </c>
      <c r="F6" s="31">
        <v>321.8315554493649</v>
      </c>
    </row>
    <row r="7" spans="1:6" x14ac:dyDescent="0.25">
      <c r="A7" s="30">
        <v>0.065489</v>
      </c>
      <c r="B7" s="31">
        <v>180.86752911668958</v>
      </c>
      <c r="C7" s="31">
        <v>186.83712119474694</v>
      </c>
      <c r="D7" s="32">
        <v>194.58003933775254</v>
      </c>
      <c r="E7" s="31">
        <v>204.84580849637373</v>
      </c>
      <c r="F7" s="31">
        <v>218.87562271548657</v>
      </c>
    </row>
    <row r="8" spans="1:6" x14ac:dyDescent="0.25">
      <c r="A8" s="30">
        <v>0.075489</v>
      </c>
      <c r="B8" s="31">
        <v>150.52871291315932</v>
      </c>
      <c r="C8" s="31">
        <v>153.1511854730877</v>
      </c>
      <c r="D8" s="31">
        <v>156.51979989479247</v>
      </c>
      <c r="E8" s="31">
        <v>160.88059649410044</v>
      </c>
      <c r="F8" s="31">
        <v>166.6011499867133</v>
      </c>
    </row>
    <row r="9" spans="1:6" x14ac:dyDescent="0.25">
      <c r="A9" s="30">
        <v>0.085489</v>
      </c>
      <c r="B9" s="31">
        <v>128.78900491003898</v>
      </c>
      <c r="C9" s="31">
        <v>129.7193497616728</v>
      </c>
      <c r="D9" s="31">
        <v>130.982626712918</v>
      </c>
      <c r="E9" s="31">
        <v>132.66883525005434</v>
      </c>
      <c r="F9" s="31">
        <v>134.90362598585614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323905000000</v>
      </c>
      <c r="C5" s="18">
        <v>339247000000</v>
      </c>
      <c r="D5" s="18">
        <v>334697000000</v>
      </c>
      <c r="E5" s="18">
        <v>398675000000</v>
      </c>
      <c r="F5" s="6" t="s">
        <v>91</v>
      </c>
    </row>
    <row r="6" spans="1:6" x14ac:dyDescent="0.25">
      <c r="A6" t="s">
        <v>51</v>
      </c>
      <c r="B6" s="18">
        <v>33938000000</v>
      </c>
      <c r="C6" s="18">
        <v>39652000000</v>
      </c>
      <c r="D6" s="18">
        <v>44461000000</v>
      </c>
      <c r="E6" s="18">
        <v>64028000000</v>
      </c>
      <c r="F6" s="6" t="s">
        <v>92</v>
      </c>
    </row>
    <row r="7" spans="1:6" x14ac:dyDescent="0.25">
      <c r="A7" t="s">
        <v>93</v>
      </c>
      <c r="B7" s="18">
        <v>25993000000</v>
      </c>
      <c r="C7" s="18">
        <v>23442000000</v>
      </c>
      <c r="D7" s="18">
        <v>20641000000</v>
      </c>
      <c r="E7" s="18">
        <v>24040000000</v>
      </c>
      <c r="F7" s="6" t="s">
        <v>94</v>
      </c>
    </row>
    <row r="8" spans="1:6" x14ac:dyDescent="0.25">
      <c r="A8" t="s">
        <v>95</v>
      </c>
      <c r="B8" s="18">
        <v>28358000000</v>
      </c>
      <c r="C8" s="18">
        <v>24306000000</v>
      </c>
      <c r="D8" s="18">
        <v>21919000000</v>
      </c>
      <c r="E8" s="18">
        <v>18407000000</v>
      </c>
      <c r="F8" s="6" t="s">
        <v>96</v>
      </c>
    </row>
    <row r="9" spans="1:6" x14ac:dyDescent="0.25">
      <c r="A9" t="s">
        <v>97</v>
      </c>
      <c r="B9" s="18">
        <v>7728000000</v>
      </c>
      <c r="C9" s="18">
        <v>1826000000</v>
      </c>
      <c r="D9" s="18">
        <v>4255000000</v>
      </c>
      <c r="E9" s="18">
        <v>194000000</v>
      </c>
      <c r="F9" s="6" t="s">
        <v>98</v>
      </c>
    </row>
    <row r="10" spans="1:6" x14ac:dyDescent="0.25">
      <c r="A10" t="s">
        <v>99</v>
      </c>
      <c r="B10" s="18">
        <v>43537000000</v>
      </c>
      <c r="C10" s="18">
        <v>41710000000</v>
      </c>
      <c r="D10" s="18">
        <v>41573000000</v>
      </c>
      <c r="E10" s="18">
        <v>41193000000</v>
      </c>
      <c r="F10" s="6" t="s">
        <v>100</v>
      </c>
    </row>
    <row r="11" spans="1:6" x14ac:dyDescent="0.25">
      <c r="A11" t="s">
        <v>101</v>
      </c>
      <c r="B11" s="18">
        <v>10681000000</v>
      </c>
      <c r="C11" s="18">
        <v>23029000000</v>
      </c>
      <c r="D11" s="18">
        <v>31539000000</v>
      </c>
      <c r="E11" s="18">
        <v>29640000000</v>
      </c>
      <c r="F11" s="6" t="s">
        <v>102</v>
      </c>
    </row>
    <row r="12" spans="1:6" x14ac:dyDescent="0.25">
      <c r="A12" t="s">
        <v>34</v>
      </c>
      <c r="B12" s="34">
        <v>4305074627</v>
      </c>
      <c r="C12" s="34">
        <v>4298000000</v>
      </c>
      <c r="D12" s="34">
        <v>4052000000</v>
      </c>
      <c r="E12" s="34">
        <v>4205000000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