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<sst xmlns="http://schemas.openxmlformats.org/spreadsheetml/2006/main" count="114" uniqueCount="102">
  <si>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Xero Limited (XRO.AX)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</si>
  <si>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</si>
  <si>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</si>
  <si>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</si>
  <si>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</si>
  <si>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</si>
  <si>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</si>
  <si>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</si>
  <si>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</si>
  <si>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</si>
  <si>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</si>
  <si>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</si>
  <si>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</si>
  <si>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</si>
  <si>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</si>
  <si>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</si>
  <si>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</si>
  <si>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</si>
  <si>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</si>
  <si>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</si>
  <si>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</si>
  <si>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</si>
  <si>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</si>
  <si>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</si>
  <si>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</si>
  <si>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</si>
  <si>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</si>
  <si>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</si>
  <si>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</si>
  <si>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</si>
  <si>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2026-03-31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</si>
  <si>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</si>
  <si>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</si>
  <si>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</si>
  <si>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</si>
  <si>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</si>
  <si>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</si>
  <si>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</si>
  <si>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</si>
  <si>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</si>
  <si>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</si>
  <si>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</si>
  <si>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</si>
  <si>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</si>
  <si>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</si>
  <si>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</si>
  <si>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</si>
  <si>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</si>
  <si>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</si>
  <si>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</si>
  <si>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</si>
  <si>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</si>
  <si>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</si>
  <si>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</si>
  <si>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</si>
  <si>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</si>
  <si>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</si>
  <si>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</si>
  <si>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</si>
  <si>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</si>
  <si>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</si>
  <si>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</si>
  <si>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</si>
  <si>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</si>
  <si>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</si>
  <si>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</si>
  <si>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</si>
  <si>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</si>
  <si>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</si>
  <si>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</si>
  <si>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NZD to AUD</t>
  </si>
  <si>
    <t>NZD/AUD at 0.8033</t>
  </si>
  <si>
    <t>Value per share (AUD)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</si>
  <si>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</si>
  <si>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</si>
  <si>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</si>
  <si>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</si>
  <si>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</si>
  <si>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</si>
  <si>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</si>
  <si>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</si>
  <si>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</si>
  <si>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</si>
  <si>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</si>
  <si>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</si>
  <si>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</si>
  <si>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</si>
  <si>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</si>
  <si>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</si>
  <si>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</si>
  <si>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</si>
  <si>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</si>
  <si>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</si>
  <si>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</si>
  <si>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</si>
  <si>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</si>
  <si>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</si>
  <si>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</si>
  <si>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</si>
  <si>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Reports in NZD, trades in AUD. Modelled in NZD, converted at the end.</t>
  </si>
  <si>
    <t>Current EV/EBITDA of 37.0x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</si>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</sst>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0.20552489317966627</v>
      </c>
    </row>
    <row r="7" spans="1:2" x14ac:dyDescent="0.25">
      <c r="A7" t="s">
        <v>5</v>
      </c>
      <c r="B7" s="6">
        <v>0.059272814421977446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0.1449611636099322</v>
      </c>
    </row>
    <row r="10" spans="1:2" x14ac:dyDescent="0.25">
      <c r="A10" t="s">
        <v>8</v>
      </c>
      <c r="B10" s="6">
        <v>0.1538685262311817</v>
      </c>
    </row>
    <row r="11" spans="1:2" x14ac:dyDescent="0.25">
      <c r="A11" t="s">
        <v>9</v>
      </c>
      <c r="B11" s="6">
        <v>0.060663179047033784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0.09749712978082171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0.8204400000000001</v>
      </c>
      <c r="C19" s="8" t="s">
        <v>19</v>
      </c>
    </row>
    <row r="20" spans="1:2" x14ac:dyDescent="0.25">
      <c r="A20" t="s">
        <v>20</v>
      </c>
      <c r="B20" s="10">
        <f>B17+B19*B18</f>
        <v>0.1027064</v>
      </c>
    </row>
    <row r="21" spans="1:3" x14ac:dyDescent="0.25">
      <c r="A21" t="s">
        <v>21</v>
      </c>
      <c r="B21" s="6">
        <v>0.09270398640309292</v>
      </c>
      <c r="C21" s="8" t="s">
        <v>22</v>
      </c>
    </row>
    <row r="22" spans="1:2" x14ac:dyDescent="0.25">
      <c r="A22" t="s">
        <v>23</v>
      </c>
      <c r="B22" s="11">
        <v>11090812928</v>
      </c>
    </row>
    <row r="23" spans="1:2" x14ac:dyDescent="0.25">
      <c r="A23" t="s">
        <v>24</v>
      </c>
      <c r="B23" s="11">
        <v>1772004669.7799</v>
      </c>
    </row>
    <row r="24" spans="1:2" x14ac:dyDescent="0.25">
      <c r="A24" t="s">
        <v>25</v>
      </c>
      <c r="B24" s="10">
        <f>B22/(B22+B23)</f>
        <v>0.8622382183134009</v>
      </c>
    </row>
    <row r="25" spans="1:2" x14ac:dyDescent="0.25">
      <c r="A25" t="s">
        <v>26</v>
      </c>
      <c r="B25" s="10">
        <f>1-B24</f>
        <v>0.13776178168659914</v>
      </c>
    </row>
    <row r="26" spans="1:2" x14ac:dyDescent="0.25">
      <c r="A26" t="s">
        <v>27</v>
      </c>
      <c r="B26" s="12">
        <f>B24*B20+B25*B21*(1-B8)</f>
        <v>0.09749712978082171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2295764676.451</v>
      </c>
      <c r="C29" s="8" t="s">
        <v>30</v>
      </c>
    </row>
    <row r="30" spans="1:2" x14ac:dyDescent="0.25">
      <c r="A30" t="s">
        <v>31</v>
      </c>
      <c r="B30" s="11">
        <v>159143595.73060012</v>
      </c>
    </row>
    <row r="31" spans="1:2" x14ac:dyDescent="0.25">
      <c r="A31" t="s">
        <v>32</v>
      </c>
      <c r="B31" s="13">
        <v>164588000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0.20552489317966627</v>
      </c>
      <c r="C5" s="10">
        <f>Assumptions!B6</f>
        <v>0.20552489317966627</v>
      </c>
      <c r="D5" s="10">
        <f>Assumptions!B6</f>
        <v>0.20552489317966627</v>
      </c>
      <c r="E5" s="10">
        <f>Assumptions!B6</f>
        <v>0.20552489317966627</v>
      </c>
      <c r="F5" s="10">
        <f>Assumptions!B6</f>
        <v>0.20552489317966627</v>
      </c>
    </row>
    <row r="6" spans="1:6" x14ac:dyDescent="0.25">
      <c r="A6" t="s">
        <v>43</v>
      </c>
      <c r="B6" s="18">
        <f>Assumptions!B29*(1+B5)</f>
        <v>2767601466.344243</v>
      </c>
      <c r="C6" s="18">
        <f>B6*(1+C5)</f>
        <v>3336412462.0785313</v>
      </c>
      <c r="D6" s="18">
        <f>C6*(1+D5)</f>
        <v>4022128276.9505286</v>
      </c>
      <c r="E6" s="18">
        <f>D6*(1+E5)</f>
        <v>4848775761.425701</v>
      </c>
      <c r="F6" s="18">
        <f>E6*(1+F5)</f>
        <v>5845319881.844873</v>
      </c>
    </row>
    <row r="7" spans="1:6" x14ac:dyDescent="0.25">
      <c r="A7" t="s">
        <v>5</v>
      </c>
      <c r="B7" s="10">
        <f>Assumptions!B7</f>
        <v>0.059272814421977446</v>
      </c>
      <c r="C7" s="10">
        <f>Assumptions!B7</f>
        <v>0.059272814421977446</v>
      </c>
      <c r="D7" s="10">
        <f>Assumptions!B7</f>
        <v>0.059272814421977446</v>
      </c>
      <c r="E7" s="10">
        <f>Assumptions!B7</f>
        <v>0.059272814421977446</v>
      </c>
      <c r="F7" s="10">
        <f>Assumptions!B7</f>
        <v>0.059272814421977446</v>
      </c>
    </row>
    <row r="8" spans="1:6" x14ac:dyDescent="0.25">
      <c r="A8" t="s">
        <v>44</v>
      </c>
      <c r="B8" s="18">
        <f>B6*B7</f>
        <v>164043528.10861498</v>
      </c>
      <c r="C8" s="18">
        <f>C6*C7</f>
        <v>197758556.69995365</v>
      </c>
      <c r="D8" s="18">
        <f>D6*D7</f>
        <v>238402862.94107658</v>
      </c>
      <c r="E8" s="18">
        <f>E6*E7</f>
        <v>287400585.88076794</v>
      </c>
      <c r="F8" s="18">
        <f>F6*F7</f>
        <v>346468560.59368634</v>
      </c>
    </row>
    <row r="9" spans="1:6" x14ac:dyDescent="0.25">
      <c r="A9" t="s">
        <v>45</v>
      </c>
      <c r="B9" s="18">
        <f>B8*(1-Assumptions!B8)</f>
        <v>114830469.67603049</v>
      </c>
      <c r="C9" s="18">
        <f>C8*(1-Assumptions!B8)</f>
        <v>138430989.68996754</v>
      </c>
      <c r="D9" s="18">
        <f>D8*(1-Assumptions!B8)</f>
        <v>166882004.05875358</v>
      </c>
      <c r="E9" s="18">
        <f>E8*(1-Assumptions!B8)</f>
        <v>201180410.11653754</v>
      </c>
      <c r="F9" s="18">
        <f>F8*(1-Assumptions!B8)</f>
        <v>242527992.41558042</v>
      </c>
    </row>
    <row r="10" spans="1:6" x14ac:dyDescent="0.25">
      <c r="A10" t="s">
        <v>46</v>
      </c>
      <c r="B10" s="18">
        <f>B6*Assumptions!B9</f>
        <v>401194728.9698161</v>
      </c>
      <c r="C10" s="18">
        <f>C6*Assumptions!B9</f>
        <v>483650232.78558266</v>
      </c>
      <c r="D10" s="18">
        <f>D6*Assumptions!B9</f>
        <v>583052395.2151603</v>
      </c>
      <c r="E10" s="18">
        <f>E6*Assumptions!B9</f>
        <v>702884176.4599046</v>
      </c>
      <c r="F10" s="18">
        <f>F6*Assumptions!B9</f>
        <v>847344371.7445042</v>
      </c>
    </row>
    <row r="11" spans="1:6" x14ac:dyDescent="0.25">
      <c r="A11" t="s">
        <v>47</v>
      </c>
      <c r="B11" s="18">
        <f>-B6*Assumptions!B10</f>
        <v>-425846758.8216461</v>
      </c>
      <c r="C11" s="18">
        <f>-C6*Assumptions!B10</f>
        <v>-513368868.439372</v>
      </c>
      <c r="D11" s="18">
        <f>-D6*Assumptions!B10</f>
        <v>-618878950.28714</v>
      </c>
      <c r="E11" s="18">
        <f>-E6*Assumptions!B10</f>
        <v>-746073980.4360485</v>
      </c>
      <c r="F11" s="18">
        <f>-F6*Assumptions!B10</f>
        <v>-899410755.5692958</v>
      </c>
    </row>
    <row r="12" spans="1:6" x14ac:dyDescent="0.25">
      <c r="A12" t="s">
        <v>48</v>
      </c>
      <c r="B12" s="18">
        <f>-(B6-Assumptions!B29)*Assumptions!B11</f>
        <v>-28623119.66627145</v>
      </c>
      <c r="C12" s="18">
        <f>-(C6-B6)*Assumptions!B11</f>
        <v>-34505883.27815069</v>
      </c>
      <c r="D12" s="18">
        <f>-(D6-C6)*Assumptions!B11</f>
        <v>-41597701.25296265</v>
      </c>
      <c r="E12" s="18">
        <f>-(E6-D6)*Assumptions!B11</f>
        <v>-50147064.35949747</v>
      </c>
      <c r="F12" s="18">
        <f>-(F6-E6)*Assumptions!B11</f>
        <v>-60453534.405257046</v>
      </c>
    </row>
    <row r="13" spans="1:6" x14ac:dyDescent="0.25">
      <c r="A13" s="19" t="s">
        <v>49</v>
      </c>
      <c r="B13" s="20">
        <f>B9+B10+B11+B12</f>
        <v>61555320.15792906</v>
      </c>
      <c r="C13" s="20">
        <f>C9+C10+C11+C12</f>
        <v>74206470.75802748</v>
      </c>
      <c r="D13" s="20">
        <f>D9+D10+D11+D12</f>
        <v>89457747.7338112</v>
      </c>
      <c r="E13" s="20">
        <f>E9+E10+E11+E12</f>
        <v>107843541.78089614</v>
      </c>
      <c r="F13" s="20">
        <f>F9+F10+F11+F12</f>
        <v>130008074.18553191</v>
      </c>
    </row>
    <row r="14" spans="1:6" x14ac:dyDescent="0.25">
      <c r="A14" t="s">
        <v>50</v>
      </c>
      <c r="B14" s="21">
        <f>1/(1+Assumptions!$B$26)^(1-0.5*Assumptions!$B$32)</f>
        <v>0.9545491679921714</v>
      </c>
      <c r="C14" s="21">
        <f>1/(1+Assumptions!$B$26)^(2-0.5*Assumptions!$B$32)</f>
        <v>0.8697509470323641</v>
      </c>
      <c r="D14" s="21">
        <f>1/(1+Assumptions!$B$26)^(3-0.5*Assumptions!$B$32)</f>
        <v>0.792485851153032</v>
      </c>
      <c r="E14" s="21">
        <f>1/(1+Assumptions!$B$26)^(4-0.5*Assumptions!$B$32)</f>
        <v>0.7220846685141649</v>
      </c>
      <c r="F14" s="21">
        <f>1/(1+Assumptions!$B$26)^(5-0.5*Assumptions!$B$32)</f>
        <v>0.657937637302405</v>
      </c>
    </row>
    <row r="15" spans="1:6" x14ac:dyDescent="0.25">
      <c r="A15" s="19" t="s">
        <v>51</v>
      </c>
      <c r="B15" s="20">
        <f>B13*B14</f>
        <v>58757579.64224292</v>
      </c>
      <c r="C15" s="20">
        <f>C13*C14</f>
        <v>64541148.21772383</v>
      </c>
      <c r="D15" s="20">
        <f>D13*D14</f>
        <v>70893999.35506259</v>
      </c>
      <c r="E15" s="20">
        <f>E13*E14</f>
        <v>77872168.11825188</v>
      </c>
      <c r="F15" s="20">
        <f>F13*F14</f>
        <v>85537205.15986465</v>
      </c>
    </row>
    <row r="17" spans="1:2" x14ac:dyDescent="0.25">
      <c r="A17" s="22" t="s">
        <v>52</v>
      </c>
      <c r="B17" s="23">
        <f>SUM(B15:F15)</f>
        <v>357602100.4931459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130008074.18553191</v>
      </c>
    </row>
    <row r="5" spans="1:2" x14ac:dyDescent="0.25">
      <c r="A5" t="s">
        <v>56</v>
      </c>
      <c r="B5" s="18">
        <f>IF(Assumptions!$B$33=0,B4,B4-Forecast!F11-Forecast!F10-Forecast!F12)</f>
        <v>242527992.41558042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0.2564178048748842</v>
      </c>
    </row>
    <row r="7" spans="1:2" x14ac:dyDescent="0.25">
      <c r="A7" t="s">
        <v>58</v>
      </c>
      <c r="B7" s="18">
        <f>-MAX(Forecast!F9,0)*B6</f>
        <v>-62188495.43591569</v>
      </c>
    </row>
    <row r="8" spans="1:2" x14ac:dyDescent="0.25">
      <c r="A8" t="s">
        <v>59</v>
      </c>
      <c r="B8" s="18">
        <f>IF(OR(Assumptions!$B$33=0,Assumptions!B12&lt;=0),B5,MAX(B5+B7,0))</f>
        <v>180339496.97966474</v>
      </c>
    </row>
    <row r="9" spans="1:2" x14ac:dyDescent="0.25">
      <c r="A9" t="s">
        <v>60</v>
      </c>
      <c r="B9" s="18">
        <f>B8*(1+Assumptions!B12)/(Assumptions!B26-Assumptions!B12)</f>
        <v>2549728312.8725433</v>
      </c>
    </row>
    <row r="10" spans="1:2" x14ac:dyDescent="0.25">
      <c r="A10" t="s">
        <v>61</v>
      </c>
      <c r="B10" s="18">
        <f>B9/(1+Assumptions!B26)^(5-0.5*Assumptions!B32)</f>
        <v>1677562221.9344084</v>
      </c>
    </row>
    <row r="11" spans="1:2" x14ac:dyDescent="0.25">
      <c r="A11" t="s">
        <v>62</v>
      </c>
      <c r="B11" s="18">
        <f>Forecast!B17+B10</f>
        <v>2035164322.4275544</v>
      </c>
    </row>
    <row r="12" spans="1:2" x14ac:dyDescent="0.25">
      <c r="A12" t="s">
        <v>63</v>
      </c>
      <c r="B12" s="18">
        <f>-Assumptions!B30</f>
        <v>-159143595.73060012</v>
      </c>
    </row>
    <row r="13" spans="1:2" x14ac:dyDescent="0.25">
      <c r="A13" t="s">
        <v>64</v>
      </c>
      <c r="B13" s="18">
        <f>B11+B12</f>
        <v>1876020726.6969543</v>
      </c>
    </row>
    <row r="14" spans="1:2" x14ac:dyDescent="0.25">
      <c r="A14" s="19" t="s">
        <v>65</v>
      </c>
      <c r="B14" s="24">
        <f>B13/Assumptions!B31</f>
        <v>11.398283755176283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1193812932.3381906</v>
      </c>
    </row>
    <row r="18" spans="1:2" x14ac:dyDescent="0.25">
      <c r="A18" t="s">
        <v>60</v>
      </c>
      <c r="B18" s="18">
        <f>B17*Assumptions!B13</f>
        <v>23876258646.76381</v>
      </c>
    </row>
    <row r="19" spans="1:2" x14ac:dyDescent="0.25">
      <c r="A19" t="s">
        <v>61</v>
      </c>
      <c r="B19" s="18">
        <f>B18/(1+Assumptions!B26)^(5-0.5*Assumptions!B32)</f>
        <v>15709089201.672897</v>
      </c>
    </row>
    <row r="20" spans="1:2" x14ac:dyDescent="0.25">
      <c r="A20" t="s">
        <v>62</v>
      </c>
      <c r="B20" s="18">
        <f>Forecast!B17+B19</f>
        <v>16066691302.166042</v>
      </c>
    </row>
    <row r="21" spans="1:2" x14ac:dyDescent="0.25">
      <c r="A21" t="s">
        <v>63</v>
      </c>
      <c r="B21" s="18">
        <f>-Assumptions!B30</f>
        <v>-159143595.73060036</v>
      </c>
    </row>
    <row r="22" spans="1:2" x14ac:dyDescent="0.25">
      <c r="A22" t="s">
        <v>64</v>
      </c>
      <c r="B22" s="18">
        <f>B20+B21</f>
        <v>15907547706.435442</v>
      </c>
    </row>
    <row r="23" spans="1:2" x14ac:dyDescent="0.25">
      <c r="A23" s="19" t="s">
        <v>65</v>
      </c>
      <c r="B23" s="25">
        <f>B22/Assumptions!B31</f>
        <v>96.65071394290861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62.78</v>
      </c>
    </row>
    <row r="27" spans="1:3" x14ac:dyDescent="0.25">
      <c r="A27" t="s">
        <v>70</v>
      </c>
      <c r="B27" s="27">
        <v>0.8033</v>
      </c>
      <c r="C27" s="8" t="s">
        <v>71</v>
      </c>
    </row>
    <row r="28" spans="1:2" x14ac:dyDescent="0.25">
      <c r="A28" t="s">
        <v>72</v>
      </c>
      <c r="B28" s="28">
        <f>B14*B27</f>
        <v>9.156241340533109</v>
      </c>
    </row>
    <row r="29" spans="1:2" x14ac:dyDescent="0.25">
      <c r="A29" s="19" t="s">
        <v>73</v>
      </c>
      <c r="B29" s="12">
        <f>B28/B26-1</f>
        <v>-0.8541535307337829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0.077497</v>
      </c>
      <c r="B5" s="31">
        <v>15.110060764571067</v>
      </c>
      <c r="C5" s="31">
        <v>15.178008737327122</v>
      </c>
      <c r="D5" s="31">
        <v>15.245956710083174</v>
      </c>
      <c r="E5" s="31">
        <v>15.313904682839224</v>
      </c>
      <c r="F5" s="31">
        <v>15.381852655595269</v>
      </c>
    </row>
    <row r="6" spans="1:6" x14ac:dyDescent="0.25">
      <c r="A6" s="30">
        <v>0.087497</v>
      </c>
      <c r="B6" s="31">
        <v>12.97960885819996</v>
      </c>
      <c r="C6" s="31">
        <v>13.037340544284689</v>
      </c>
      <c r="D6" s="31">
        <v>13.095072230369412</v>
      </c>
      <c r="E6" s="31">
        <v>13.152803916454141</v>
      </c>
      <c r="F6" s="31">
        <v>13.210535602538865</v>
      </c>
    </row>
    <row r="7" spans="1:6" x14ac:dyDescent="0.25">
      <c r="A7" s="30">
        <v>0.097497</v>
      </c>
      <c r="B7" s="31">
        <v>11.298864284525303</v>
      </c>
      <c r="C7" s="31">
        <v>11.348583860669262</v>
      </c>
      <c r="D7" s="32">
        <v>11.398303436813213</v>
      </c>
      <c r="E7" s="31">
        <v>11.448023012957172</v>
      </c>
      <c r="F7" s="31">
        <v>11.497742589101128</v>
      </c>
    </row>
    <row r="8" spans="1:6" x14ac:dyDescent="0.25">
      <c r="A8" s="30">
        <v>0.107497</v>
      </c>
      <c r="B8" s="31">
        <v>9.94168567235027</v>
      </c>
      <c r="C8" s="31">
        <v>9.984976496208281</v>
      </c>
      <c r="D8" s="31">
        <v>10.028267320066291</v>
      </c>
      <c r="E8" s="31">
        <v>10.071558143924305</v>
      </c>
      <c r="F8" s="31">
        <v>10.114848967782317</v>
      </c>
    </row>
    <row r="9" spans="1:6" x14ac:dyDescent="0.25">
      <c r="A9" s="30">
        <v>0.117497</v>
      </c>
      <c r="B9" s="31">
        <v>8.824912019137654</v>
      </c>
      <c r="C9" s="31">
        <v>8.862948320838704</v>
      </c>
      <c r="D9" s="31">
        <v>8.900984622539752</v>
      </c>
      <c r="E9" s="31">
        <v>8.939020924240802</v>
      </c>
      <c r="F9" s="31">
        <v>8.977057225941849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2295764676.451</v>
      </c>
      <c r="C5" s="18">
        <v>1910806979.2803</v>
      </c>
      <c r="D5" s="18">
        <v>1572119071.6448</v>
      </c>
      <c r="E5" s="18">
        <v>1310384723.3923</v>
      </c>
      <c r="F5" s="8" t="s">
        <v>84</v>
      </c>
    </row>
    <row r="6" spans="1:6" x14ac:dyDescent="0.25">
      <c r="A6" t="s">
        <v>44</v>
      </c>
      <c r="B6" s="18">
        <v>-15386090.7273</v>
      </c>
      <c r="C6" s="18">
        <v>68964013.0862</v>
      </c>
      <c r="D6" s="18">
        <v>237312173.1951</v>
      </c>
      <c r="E6" s="18">
        <v>74365814.8464</v>
      </c>
      <c r="F6" s="8" t="s">
        <v>85</v>
      </c>
    </row>
    <row r="7" spans="1:6" x14ac:dyDescent="0.25">
      <c r="A7" t="s">
        <v>86</v>
      </c>
      <c r="B7" s="18">
        <v>319189459.6397</v>
      </c>
      <c r="C7" s="18">
        <v>256961105.0527</v>
      </c>
      <c r="D7" s="18">
        <v>236549857.8112</v>
      </c>
      <c r="E7" s="18">
        <v>204245998.315</v>
      </c>
      <c r="F7" s="8" t="s">
        <v>87</v>
      </c>
    </row>
    <row r="8" spans="1:6" x14ac:dyDescent="0.25">
      <c r="A8" t="s">
        <v>88</v>
      </c>
      <c r="B8" s="18">
        <v>346253335.557</v>
      </c>
      <c r="C8" s="18">
        <v>259915485.278</v>
      </c>
      <c r="D8" s="18">
        <v>214266581.0476</v>
      </c>
      <c r="E8" s="18">
        <v>252034072.826</v>
      </c>
      <c r="F8" s="8" t="s">
        <v>89</v>
      </c>
    </row>
    <row r="9" spans="1:6" x14ac:dyDescent="0.25">
      <c r="A9" t="s">
        <v>90</v>
      </c>
      <c r="B9" s="18">
        <v>23352757.709000003</v>
      </c>
      <c r="C9" s="18">
        <v>-3705147.4071999975</v>
      </c>
      <c r="D9" s="18">
        <v>17936505.262199998</v>
      </c>
      <c r="E9" s="18">
        <v>0</v>
      </c>
      <c r="F9" s="8" t="s">
        <v>91</v>
      </c>
    </row>
    <row r="10" spans="1:6" x14ac:dyDescent="0.25">
      <c r="A10" t="s">
        <v>92</v>
      </c>
      <c r="B10" s="18">
        <v>1772004669.7799</v>
      </c>
      <c r="C10" s="18">
        <v>1216536713.9222</v>
      </c>
      <c r="D10" s="18">
        <v>1122942849.2798</v>
      </c>
      <c r="E10" s="18">
        <v>1070125432.9308</v>
      </c>
      <c r="F10" s="8" t="s">
        <v>93</v>
      </c>
    </row>
    <row r="11" spans="1:6" x14ac:dyDescent="0.25">
      <c r="A11" t="s">
        <v>94</v>
      </c>
      <c r="B11" s="18">
        <v>1612861074.0493</v>
      </c>
      <c r="C11" s="18">
        <v>2117771719.3748</v>
      </c>
      <c r="D11" s="18">
        <v>1403421704.4308</v>
      </c>
      <c r="E11" s="18">
        <v>1045761490.2181</v>
      </c>
      <c r="F11" s="8" t="s">
        <v>95</v>
      </c>
    </row>
    <row r="12" spans="1:6" x14ac:dyDescent="0.25">
      <c r="A12" t="s">
        <v>32</v>
      </c>
      <c r="B12" s="34">
        <v>164588000</v>
      </c>
      <c r="C12" s="34">
        <v>154974983</v>
      </c>
      <c r="D12" s="34">
        <v>153189411</v>
      </c>
      <c r="E12" s="34">
        <v>150037000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2026-09-19T00:06:24Z</dcterms:modified>
</cp:coreProperties>
</file>