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<sst xmlns="http://schemas.openxmlformats.org/spreadsheetml/2006/main" count="119" uniqueCount="106">
  <si>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Xylem Inc. (XYL)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</si>
  <si>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</si>
  <si>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</si>
  <si>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</si>
  <si>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</si>
  <si>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</si>
  <si>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</si>
  <si>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</si>
  <si>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</si>
  <si>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</si>
  <si>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</si>
  <si>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</si>
  <si>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</si>
  <si>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</si>
  <si>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</si>
  <si>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</si>
  <si>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</si>
  <si>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</si>
  <si>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</si>
  <si>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</si>
  <si>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</si>
  <si>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</si>
  <si>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</si>
  <si>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</si>
  <si>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45.7x interest cover. Book interest / average debt was lower, at 1.4%.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</si>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</sst>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-0.009468055340343118</v>
      </c>
    </row>
    <row r="7" spans="1:2" x14ac:dyDescent="0.25">
      <c r="A7" t="s">
        <v>4</v>
      </c>
      <c r="B7" s="5">
        <v>0.1221503924911685</v>
      </c>
    </row>
    <row r="8" spans="1:2" x14ac:dyDescent="0.25">
      <c r="A8" t="s">
        <v>5</v>
      </c>
      <c r="B8" s="5">
        <v>0.1872072844358953</v>
      </c>
    </row>
    <row r="9" spans="1:2" x14ac:dyDescent="0.25">
      <c r="A9" t="s">
        <v>6</v>
      </c>
      <c r="B9" s="5">
        <v>0.057806338774605254</v>
      </c>
    </row>
    <row r="10" spans="1:3" x14ac:dyDescent="0.25">
      <c r="A10" t="s">
        <v>7</v>
      </c>
      <c r="B10" s="5">
        <v>0.03714867777351644</v>
      </c>
      <c r="C10" s="6" t="s">
        <v>8</v>
      </c>
    </row>
    <row r="11" spans="1:2" x14ac:dyDescent="0.25">
      <c r="A11" t="s">
        <v>9</v>
      </c>
      <c r="B11" s="5">
        <v>0.20294414281884166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11.454243417148868</v>
      </c>
    </row>
    <row r="14" spans="1:3" x14ac:dyDescent="0.25">
      <c r="A14" t="s">
        <v>12</v>
      </c>
      <c r="B14" s="5">
        <v>0.08673040990835343</v>
      </c>
      <c r="C14" s="6" t="s">
        <v>13</v>
      </c>
    </row>
    <row r="15" spans="1:3" x14ac:dyDescent="0.25">
      <c r="A15" t="s">
        <v>14</v>
      </c>
      <c r="B15" s="5">
        <v>0.02649872112645977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0.99397</v>
      </c>
      <c r="C19" s="6" t="s">
        <v>21</v>
      </c>
    </row>
    <row r="20" spans="1:2" x14ac:dyDescent="0.25">
      <c r="A20" t="s">
        <v>22</v>
      </c>
      <c r="B20" s="9">
        <f>B17+B19*B18</f>
        <v>0.090984931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21190516736</v>
      </c>
    </row>
    <row r="23" spans="1:2" x14ac:dyDescent="0.25">
      <c r="A23" t="s">
        <v>26</v>
      </c>
      <c r="B23" s="10">
        <v>2063000000</v>
      </c>
    </row>
    <row r="24" spans="1:2" x14ac:dyDescent="0.25">
      <c r="A24" t="s">
        <v>27</v>
      </c>
      <c r="B24" s="9">
        <f>B22/(B22+B23)</f>
        <v>0.9112822364280857</v>
      </c>
    </row>
    <row r="25" spans="1:2" x14ac:dyDescent="0.25">
      <c r="A25" t="s">
        <v>28</v>
      </c>
      <c r="B25" s="9">
        <f>1-B24</f>
        <v>0.0887177635719143</v>
      </c>
    </row>
    <row r="26" spans="1:2" x14ac:dyDescent="0.25">
      <c r="A26" t="s">
        <v>29</v>
      </c>
      <c r="B26" s="11">
        <f>B24*B20+B25*B21*(1-B8)</f>
        <v>0.08673040990835343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9035000000</v>
      </c>
      <c r="C29" s="6" t="s">
        <v>32</v>
      </c>
    </row>
    <row r="30" spans="1:2" x14ac:dyDescent="0.25">
      <c r="A30" t="s">
        <v>33</v>
      </c>
      <c r="B30" s="10">
        <v>584000000</v>
      </c>
    </row>
    <row r="31" spans="1:2" x14ac:dyDescent="0.25">
      <c r="A31" t="s">
        <v>34</v>
      </c>
      <c r="B31" s="12">
        <v>244000000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-0.009468055340343118</v>
      </c>
      <c r="C5" s="5">
        <v>0.0400809496342891</v>
      </c>
      <c r="D5" s="5">
        <v>0.038195830930002964</v>
      </c>
      <c r="E5" s="5">
        <v>0.03631071222571682</v>
      </c>
      <c r="F5" s="5">
        <v>0.03442559352143069</v>
      </c>
      <c r="G5" s="5">
        <v>0.032540474817144546</v>
      </c>
      <c r="H5" s="5">
        <v>0.030655356112858412</v>
      </c>
      <c r="I5" s="5">
        <v>0.028770237408572277</v>
      </c>
      <c r="J5" s="5">
        <v>0.02688511870428614</v>
      </c>
      <c r="K5" s="5">
        <v>0.025</v>
      </c>
    </row>
    <row r="6" spans="1:11" x14ac:dyDescent="0.25">
      <c r="A6" t="s">
        <v>50</v>
      </c>
      <c r="B6" s="18">
        <f>Assumptions!B29*(1+B5)</f>
        <v>8949456120</v>
      </c>
      <c r="C6" s="18">
        <f>B6*(1+C5)</f>
        <v>9308158820</v>
      </c>
      <c r="D6" s="18">
        <f>C6*(1+D5)</f>
        <v>9663691680.558336</v>
      </c>
      <c r="E6" s="18">
        <f>D6*(1+E5)</f>
        <v>10014587208.209145</v>
      </c>
      <c r="F6" s="18">
        <f>E6*(1+F5)</f>
        <v>10359345316.723871</v>
      </c>
      <c r="G6" s="18">
        <f>F6*(1+G5)</f>
        <v>10696443332.124828</v>
      </c>
      <c r="H6" s="18">
        <f>G6*(1+H5)</f>
        <v>11024346611.612125</v>
      </c>
      <c r="I6" s="18">
        <f>H6*(1+I5)</f>
        <v>11341519680.902596</v>
      </c>
      <c r="J6" s="18">
        <f>I6*(1+J5)</f>
        <v>11646437783.81066</v>
      </c>
      <c r="K6" s="18">
        <f>J6*(1+K5)</f>
        <v>11937598728.405926</v>
      </c>
    </row>
    <row r="7" spans="1:11" x14ac:dyDescent="0.25">
      <c r="A7" t="s">
        <v>4</v>
      </c>
      <c r="B7" s="9">
        <f>Assumptions!B7</f>
        <v>0.1221503924911685</v>
      </c>
      <c r="C7" s="9">
        <f>Assumptions!B7</f>
        <v>0.1221503924911685</v>
      </c>
      <c r="D7" s="9">
        <f>Assumptions!B7</f>
        <v>0.1221503924911685</v>
      </c>
      <c r="E7" s="9">
        <f>Assumptions!B7</f>
        <v>0.1221503924911685</v>
      </c>
      <c r="F7" s="9">
        <f>Assumptions!B7</f>
        <v>0.1221503924911685</v>
      </c>
      <c r="G7" s="9">
        <f>Assumptions!B7</f>
        <v>0.1221503924911685</v>
      </c>
      <c r="H7" s="9">
        <f>Assumptions!B7</f>
        <v>0.1221503924911685</v>
      </c>
      <c r="I7" s="9">
        <f>Assumptions!B7</f>
        <v>0.1221503924911685</v>
      </c>
      <c r="J7" s="9">
        <f>Assumptions!B7</f>
        <v>0.1221503924911685</v>
      </c>
      <c r="K7" s="9">
        <f>Assumptions!B7</f>
        <v>0.1221503924911685</v>
      </c>
    </row>
    <row r="8" spans="1:11" x14ac:dyDescent="0.25">
      <c r="A8" t="s">
        <v>51</v>
      </c>
      <c r="B8" s="18">
        <f>B6*B7</f>
        <v>1093179577.64049</v>
      </c>
      <c r="C8" s="18">
        <f>C6*C7</f>
        <v>1136995253.233132</v>
      </c>
      <c r="D8" s="18">
        <f>D6*D7</f>
        <v>1180423731.6938405</v>
      </c>
      <c r="E8" s="18">
        <f>E6*E7</f>
        <v>1223285758.1197824</v>
      </c>
      <c r="F8" s="18">
        <f>F6*F7</f>
        <v>1265398096.3893692</v>
      </c>
      <c r="G8" s="18">
        <f>G6*G7</f>
        <v>1306574751.27859</v>
      </c>
      <c r="H8" s="18">
        <f>H6*H7</f>
        <v>1346628265.5671048</v>
      </c>
      <c r="I8" s="18">
        <f>I6*I7</f>
        <v>1385371080.4685643</v>
      </c>
      <c r="J8" s="18">
        <f>J6*J7</f>
        <v>1422616946.4164467</v>
      </c>
      <c r="K8" s="18">
        <f>K6*K7</f>
        <v>1458182370.0768578</v>
      </c>
    </row>
    <row r="9" spans="1:11" x14ac:dyDescent="0.25">
      <c r="A9" t="s">
        <v>52</v>
      </c>
      <c r="B9" s="18">
        <f>B8*(1-Assumptions!B8)</f>
        <v>888528397.509635</v>
      </c>
      <c r="C9" s="18">
        <f>C8*(1-Assumptions!B8)</f>
        <v>924141459.4588542</v>
      </c>
      <c r="D9" s="18">
        <f>D8*(1-Assumptions!B8)</f>
        <v>959439810.3997507</v>
      </c>
      <c r="E9" s="18">
        <f>E8*(1-Assumptions!B8)</f>
        <v>994277753.2530725</v>
      </c>
      <c r="F9" s="18">
        <f>F8*(1-Assumptions!B8)</f>
        <v>1028506355.0339642</v>
      </c>
      <c r="G9" s="18">
        <f>G8*(1-Assumptions!B8)</f>
        <v>1061974440.1792198</v>
      </c>
      <c r="H9" s="18">
        <f>H8*(1-Assumptions!B8)</f>
        <v>1094529644.8256674</v>
      </c>
      <c r="I9" s="18">
        <f>I8*(1-Assumptions!B8)</f>
        <v>1126019522.5580223</v>
      </c>
      <c r="J9" s="18">
        <f>J8*(1-Assumptions!B8)</f>
        <v>1156292691.085338</v>
      </c>
      <c r="K9" s="18">
        <f>K8*(1-Assumptions!B8)</f>
        <v>1185200008.3624716</v>
      </c>
    </row>
    <row r="10" spans="1:11" x14ac:dyDescent="0.25">
      <c r="A10" t="s">
        <v>53</v>
      </c>
      <c r="B10" s="18">
        <f>B6*Assumptions!B9</f>
        <v>517335292.3211843</v>
      </c>
      <c r="C10" s="18">
        <f>C6*Assumptions!B9</f>
        <v>538070582.1167499</v>
      </c>
      <c r="D10" s="18">
        <f>D6*Assumptions!B9</f>
        <v>558622635.0996896</v>
      </c>
      <c r="E10" s="18">
        <f>E6*Assumptions!B9</f>
        <v>578906620.845566</v>
      </c>
      <c r="F10" s="18">
        <f>F6*Assumptions!B9</f>
        <v>598835824.8616605</v>
      </c>
      <c r="G10" s="18">
        <f>G6*Assumptions!B9</f>
        <v>618322226.9401753</v>
      </c>
      <c r="H10" s="18">
        <f>H6*Assumptions!B9</f>
        <v>637277114.9995221</v>
      </c>
      <c r="I10" s="18">
        <f>I6*Assumptions!B9</f>
        <v>655611728.8931084</v>
      </c>
      <c r="J10" s="18">
        <f>J6*Assumptions!B9</f>
        <v>673237928.0483218</v>
      </c>
      <c r="K10" s="18">
        <f>K6*Assumptions!B9</f>
        <v>690068876.2495298</v>
      </c>
    </row>
    <row r="11" spans="1:11" x14ac:dyDescent="0.25">
      <c r="A11" t="s">
        <v>54</v>
      </c>
      <c r="B11" s="18">
        <f>-B6*B19</f>
        <v>-332460461.6501047</v>
      </c>
      <c r="C11" s="18">
        <f>-C6*C19</f>
        <v>-371955452.0811895</v>
      </c>
      <c r="D11" s="18">
        <f>-D6*D19</f>
        <v>-413331830.94107765</v>
      </c>
      <c r="E11" s="18">
        <f>-E6*E19</f>
        <v>-456495969.5458911</v>
      </c>
      <c r="F11" s="18">
        <f>-F6*F19</f>
        <v>-501336158.6116785</v>
      </c>
      <c r="G11" s="18">
        <f>-G6*G19</f>
        <v>-547722662.4029363</v>
      </c>
      <c r="H11" s="18">
        <f>-H6*H19</f>
        <v>-595507974.8163102</v>
      </c>
      <c r="I11" s="18">
        <f>-I6*I19</f>
        <v>-644527284.0542449</v>
      </c>
      <c r="J11" s="18">
        <f>-J6*J19</f>
        <v>-694599149.7590666</v>
      </c>
      <c r="K11" s="18">
        <f>-K6*K19</f>
        <v>-745526393.4970372</v>
      </c>
    </row>
    <row r="12" spans="1:11" x14ac:dyDescent="0.25">
      <c r="A12" t="s">
        <v>55</v>
      </c>
      <c r="B12" s="18">
        <f>-(B6-Assumptions!B29)*Assumptions!B11</f>
        <v>17360629.399997853</v>
      </c>
      <c r="C12" s="18">
        <f>-(C6-B6)*Assumptions!B11</f>
        <v>-72796611.97830412</v>
      </c>
      <c r="D12" s="18">
        <f>-(D6-C6)*Assumptions!B11</f>
        <v>-72153311.62994231</v>
      </c>
      <c r="E12" s="18">
        <f>-(E6-D6)*Assumptions!B11</f>
        <v>-71212192.07805845</v>
      </c>
      <c r="F12" s="18">
        <f>-(F6-E6)*Assumptions!B11</f>
        <v>-69966638.8123664</v>
      </c>
      <c r="G12" s="18">
        <f>-(G6-F6)*Assumptions!B11</f>
        <v>-68412067.78147992</v>
      </c>
      <c r="H12" s="18">
        <f>-(H6-G6)*Assumptions!B11</f>
        <v>-66546049.98303656</v>
      </c>
      <c r="I12" s="18">
        <f>-(I6-H6)*Assumptions!B11</f>
        <v>-64368416.67237553</v>
      </c>
      <c r="J12" s="18">
        <f>-(J6-I6)*Assumptions!B11</f>
        <v>-61881343.02462438</v>
      </c>
      <c r="K12" s="18">
        <f>-(K6-J6)*Assumptions!B11</f>
        <v>-59089408.323210575</v>
      </c>
    </row>
    <row r="13" spans="1:11" x14ac:dyDescent="0.25">
      <c r="A13" s="19" t="s">
        <v>56</v>
      </c>
      <c r="B13" s="20">
        <f>B9+B10+B11+B12</f>
        <v>1090763857.5807123</v>
      </c>
      <c r="C13" s="20">
        <f>C9+C10+C11+C12</f>
        <v>1017459977.5161102</v>
      </c>
      <c r="D13" s="20">
        <f>D9+D10+D11+D12</f>
        <v>1032577302.9284202</v>
      </c>
      <c r="E13" s="20">
        <f>E9+E10+E11+E12</f>
        <v>1045476212.474689</v>
      </c>
      <c r="F13" s="20">
        <f>F9+F10+F11+F12</f>
        <v>1056039382.4715797</v>
      </c>
      <c r="G13" s="20">
        <f>G9+G10+G11+G12</f>
        <v>1064161936.9349788</v>
      </c>
      <c r="H13" s="20">
        <f>H9+H10+H11+H12</f>
        <v>1069752735.0258429</v>
      </c>
      <c r="I13" s="20">
        <f>I9+I10+I11+I12</f>
        <v>1072735550.7245103</v>
      </c>
      <c r="J13" s="20">
        <f>J9+J10+J11+J12</f>
        <v>1073050126.3499689</v>
      </c>
      <c r="K13" s="20">
        <f>K9+K10+K11+K12</f>
        <v>1070653082.7917536</v>
      </c>
    </row>
    <row r="14" spans="1:11" x14ac:dyDescent="0.25">
      <c r="A14" t="s">
        <v>57</v>
      </c>
      <c r="B14" s="21">
        <f>1/(1+Assumptions!$B$26)^(1-0.5*Assumptions!$B$32)</f>
        <v>0.9592660845007979</v>
      </c>
      <c r="C14" s="21">
        <f>1/(1+Assumptions!$B$26)^(2-0.5*Assumptions!$B$32)</f>
        <v>0.8827084212925402</v>
      </c>
      <c r="D14" s="21">
        <f>1/(1+Assumptions!$B$26)^(3-0.5*Assumptions!$B$32)</f>
        <v>0.8122607164061795</v>
      </c>
      <c r="E14" s="21">
        <f>1/(1+Assumptions!$B$26)^(4-0.5*Assumptions!$B$32)</f>
        <v>0.7474353427495227</v>
      </c>
      <c r="F14" s="21">
        <f>1/(1+Assumptions!$B$26)^(5-0.5*Assumptions!$B$32)</f>
        <v>0.6877835900557487</v>
      </c>
      <c r="G14" s="21">
        <f>1/(1+Assumptions!$B$26)^(6-0.5*Assumptions!$B$32)</f>
        <v>0.6328925589868706</v>
      </c>
      <c r="H14" s="21">
        <f>1/(1+Assumptions!$B$26)^(7-0.5*Assumptions!$B$32)</f>
        <v>0.5823823031143888</v>
      </c>
      <c r="I14" s="21">
        <f>1/(1+Assumptions!$B$26)^(8-0.5*Assumptions!$B$32)</f>
        <v>0.535903198994406</v>
      </c>
      <c r="J14" s="21">
        <f>1/(1+Assumptions!$B$26)^(9-0.5*Assumptions!$B$32)</f>
        <v>0.49313352613331213</v>
      </c>
      <c r="K14" s="21">
        <f>1/(1+Assumptions!$B$26)^(10-0.5*Assumptions!$B$32)</f>
        <v>0.4537772400929677</v>
      </c>
    </row>
    <row r="15" spans="1:11" x14ac:dyDescent="0.25">
      <c r="A15" s="19" t="s">
        <v>58</v>
      </c>
      <c r="B15" s="20">
        <f>B13*B14</f>
        <v>1046332774.7764359</v>
      </c>
      <c r="C15" s="20">
        <f>C13*C14</f>
        <v>898120490.4815891</v>
      </c>
      <c r="D15" s="20">
        <f>D13*D14</f>
        <v>838721979.8213992</v>
      </c>
      <c r="E15" s="20">
        <f>E13*E14</f>
        <v>781425871.207492</v>
      </c>
      <c r="F15" s="20">
        <f>F13*F14</f>
        <v>726326557.716559</v>
      </c>
      <c r="G15" s="20">
        <f>G13*G14</f>
        <v>673500171.4432036</v>
      </c>
      <c r="H15" s="20">
        <f>H13*H14</f>
        <v>623005061.5872668</v>
      </c>
      <c r="I15" s="20">
        <f>I13*I14</f>
        <v>574882413.308291</v>
      </c>
      <c r="J15" s="20">
        <f>J13*J14</f>
        <v>529156992.52475625</v>
      </c>
      <c r="K15" s="20">
        <f>K13*K14</f>
        <v>485838001.00626963</v>
      </c>
    </row>
    <row r="17" spans="1:2" x14ac:dyDescent="0.25">
      <c r="A17" s="22" t="s">
        <v>59</v>
      </c>
      <c r="B17" s="23">
        <f>SUM(B15:K15)</f>
        <v>7177310313.873261</v>
      </c>
    </row>
    <row r="19" spans="1:11" x14ac:dyDescent="0.25">
      <c r="A19" t="s">
        <v>7</v>
      </c>
      <c r="B19" s="9">
        <f>Assumptions!$B$10+($B$20-Assumptions!$B$10)*0/9</f>
        <v>0.03714867777351644</v>
      </c>
      <c r="C19" s="9">
        <f>Assumptions!$B$10+($B$20-Assumptions!$B$10)*1/9</f>
        <v>0.03996015315961159</v>
      </c>
      <c r="D19" s="9">
        <f>Assumptions!$B$10+($B$20-Assumptions!$B$10)*2/9</f>
        <v>0.042771628545706736</v>
      </c>
      <c r="E19" s="9">
        <f>Assumptions!$B$10+($B$20-Assumptions!$B$10)*3/9</f>
        <v>0.045583103931801885</v>
      </c>
      <c r="F19" s="9">
        <f>Assumptions!$B$10+($B$20-Assumptions!$B$10)*4/9</f>
        <v>0.04839457931789703</v>
      </c>
      <c r="G19" s="9">
        <f>Assumptions!$B$10+($B$20-Assumptions!$B$10)*5/9</f>
        <v>0.05120605470399218</v>
      </c>
      <c r="H19" s="9">
        <f>Assumptions!$B$10+($B$20-Assumptions!$B$10)*6/9</f>
        <v>0.05401753009008732</v>
      </c>
      <c r="I19" s="9">
        <f>Assumptions!$B$10+($B$20-Assumptions!$B$10)*7/9</f>
        <v>0.05682900547618247</v>
      </c>
      <c r="J19" s="9">
        <f>Assumptions!$B$10+($B$20-Assumptions!$B$10)*8/9</f>
        <v>0.05964048086227762</v>
      </c>
      <c r="K19" s="9">
        <f>Assumptions!$B$10+($B$20-Assumptions!$B$10)*9/9</f>
        <v>0.06245195624837276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0.06245195624837276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1070653082.7917536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1488971350.7351444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0.2882495312361268</v>
      </c>
    </row>
    <row r="7" spans="1:2" x14ac:dyDescent="0.25">
      <c r="A7" t="s">
        <v>66</v>
      </c>
      <c r="B7" s="18">
        <f>-MAX(B5,0)*B6</f>
        <v>-429195293.87342787</v>
      </c>
    </row>
    <row r="8" spans="1:2" x14ac:dyDescent="0.25">
      <c r="A8" t="s">
        <v>67</v>
      </c>
      <c r="B8" s="18">
        <f>IF(OR(Assumptions!$B$33=0,Assumptions!B12&lt;=0),B5,MAX(B5+B7,0))</f>
        <v>1059776056.8617165</v>
      </c>
    </row>
    <row r="9" spans="1:2" x14ac:dyDescent="0.25">
      <c r="A9" t="s">
        <v>68</v>
      </c>
      <c r="B9" s="18">
        <f>B8*(1+Assumptions!B12)/(Assumptions!B26-Assumptions!B12)</f>
        <v>17597007048.810543</v>
      </c>
    </row>
    <row r="10" spans="1:2" x14ac:dyDescent="0.25">
      <c r="A10" t="s">
        <v>69</v>
      </c>
      <c r="B10" s="18">
        <f>B9/(1+Assumptions!B26)^(10-0.5*Assumptions!B32)</f>
        <v>7985121292.505747</v>
      </c>
    </row>
    <row r="11" spans="1:2" x14ac:dyDescent="0.25">
      <c r="A11" t="s">
        <v>70</v>
      </c>
      <c r="B11" s="18">
        <f>Forecast!B17+B10</f>
        <v>15162431606.37901</v>
      </c>
    </row>
    <row r="12" spans="1:2" x14ac:dyDescent="0.25">
      <c r="A12" t="s">
        <v>71</v>
      </c>
      <c r="B12" s="18">
        <f>-Assumptions!B30</f>
        <v>-584000000</v>
      </c>
    </row>
    <row r="13" spans="1:2" x14ac:dyDescent="0.25">
      <c r="A13" t="s">
        <v>72</v>
      </c>
      <c r="B13" s="18">
        <f>B11+B12</f>
        <v>14578431606.37901</v>
      </c>
    </row>
    <row r="14" spans="1:2" x14ac:dyDescent="0.25">
      <c r="A14" s="19" t="s">
        <v>73</v>
      </c>
      <c r="B14" s="24">
        <f>B13/Assumptions!B31</f>
        <v>59.74767051794676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2148251246.3263874</v>
      </c>
    </row>
    <row r="18" spans="1:2" x14ac:dyDescent="0.25">
      <c r="A18" t="s">
        <v>68</v>
      </c>
      <c r="B18" s="18">
        <f>B17*Assumptions!B13</f>
        <v>24606592696.615875</v>
      </c>
    </row>
    <row r="19" spans="1:2" x14ac:dyDescent="0.25">
      <c r="A19" t="s">
        <v>69</v>
      </c>
      <c r="B19" s="18">
        <f>B18/(1+Assumptions!B26)^(10-0.5*Assumptions!B32)</f>
        <v>11165911721.962128</v>
      </c>
    </row>
    <row r="20" spans="1:2" x14ac:dyDescent="0.25">
      <c r="A20" t="s">
        <v>70</v>
      </c>
      <c r="B20" s="18">
        <f>Forecast!B17+B19</f>
        <v>18343222035.83539</v>
      </c>
    </row>
    <row r="21" spans="1:2" x14ac:dyDescent="0.25">
      <c r="A21" t="s">
        <v>71</v>
      </c>
      <c r="B21" s="18">
        <f>-Assumptions!B30</f>
        <v>-584000000</v>
      </c>
    </row>
    <row r="22" spans="1:2" x14ac:dyDescent="0.25">
      <c r="A22" t="s">
        <v>72</v>
      </c>
      <c r="B22" s="18">
        <f>B20+B21</f>
        <v>17759222035.83539</v>
      </c>
    </row>
    <row r="23" spans="1:2" x14ac:dyDescent="0.25">
      <c r="A23" s="19" t="s">
        <v>73</v>
      </c>
      <c r="B23" s="25">
        <f>B22/Assumptions!B31</f>
        <v>72.78369686817783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92.4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59.74767051794676</v>
      </c>
    </row>
    <row r="29" spans="1:2" x14ac:dyDescent="0.25">
      <c r="A29" s="19" t="s">
        <v>81</v>
      </c>
      <c r="B29" s="11">
        <f>B28/B26-1</f>
        <v>-0.3533801891997105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0.06673</v>
      </c>
      <c r="B5" s="31">
        <v>82.89961029390008</v>
      </c>
      <c r="C5" s="31">
        <v>82.6588142763635</v>
      </c>
      <c r="D5" s="31">
        <v>82.6009150170949</v>
      </c>
      <c r="E5" s="31">
        <v>82.80060490308097</v>
      </c>
      <c r="F5" s="31">
        <v>83.37965630049942</v>
      </c>
    </row>
    <row r="6" spans="1:6" x14ac:dyDescent="0.25">
      <c r="A6" s="30">
        <v>0.07673</v>
      </c>
      <c r="B6" s="31">
        <v>69.82237803916412</v>
      </c>
      <c r="C6" s="31">
        <v>68.9003119062637</v>
      </c>
      <c r="D6" s="31">
        <v>67.97824577336326</v>
      </c>
      <c r="E6" s="31">
        <v>67.05617964046286</v>
      </c>
      <c r="F6" s="31">
        <v>66.13411350756242</v>
      </c>
    </row>
    <row r="7" spans="1:6" x14ac:dyDescent="0.25">
      <c r="A7" s="30">
        <v>0.08673</v>
      </c>
      <c r="B7" s="31">
        <v>61.29176462538222</v>
      </c>
      <c r="C7" s="31">
        <v>60.51986661156947</v>
      </c>
      <c r="D7" s="32">
        <v>59.7479685977567</v>
      </c>
      <c r="E7" s="31">
        <v>58.976070583943944</v>
      </c>
      <c r="F7" s="31">
        <v>58.20417257013119</v>
      </c>
    </row>
    <row r="8" spans="1:6" x14ac:dyDescent="0.25">
      <c r="A8" s="30">
        <v>0.09673</v>
      </c>
      <c r="B8" s="31">
        <v>54.54679166205995</v>
      </c>
      <c r="C8" s="31">
        <v>53.89134168341626</v>
      </c>
      <c r="D8" s="31">
        <v>53.235891704772555</v>
      </c>
      <c r="E8" s="31">
        <v>52.58044172612886</v>
      </c>
      <c r="F8" s="31">
        <v>51.92499174748516</v>
      </c>
    </row>
    <row r="9" spans="1:6" x14ac:dyDescent="0.25">
      <c r="A9" s="30">
        <v>0.10673</v>
      </c>
      <c r="B9" s="31">
        <v>49.084117482563094</v>
      </c>
      <c r="C9" s="31">
        <v>48.52106570665741</v>
      </c>
      <c r="D9" s="31">
        <v>47.958013930751704</v>
      </c>
      <c r="E9" s="31">
        <v>47.39496215484602</v>
      </c>
      <c r="F9" s="31">
        <v>46.831910378940314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9035000000</v>
      </c>
      <c r="C5" s="18">
        <v>8562000000</v>
      </c>
      <c r="D5" s="18">
        <v>7364000000</v>
      </c>
      <c r="E5" s="18">
        <v>5522000000</v>
      </c>
      <c r="F5" s="6" t="s">
        <v>91</v>
      </c>
    </row>
    <row r="6" spans="1:6" x14ac:dyDescent="0.25">
      <c r="A6" t="s">
        <v>51</v>
      </c>
      <c r="B6" s="18">
        <v>1326000000</v>
      </c>
      <c r="C6" s="18">
        <v>1071000000</v>
      </c>
      <c r="D6" s="18">
        <v>728000000</v>
      </c>
      <c r="E6" s="18">
        <v>651000000</v>
      </c>
      <c r="F6" s="6" t="s">
        <v>92</v>
      </c>
    </row>
    <row r="7" spans="1:6" x14ac:dyDescent="0.25">
      <c r="A7" t="s">
        <v>93</v>
      </c>
      <c r="B7" s="18">
        <v>575000000</v>
      </c>
      <c r="C7" s="18">
        <v>562000000</v>
      </c>
      <c r="D7" s="18">
        <v>436000000</v>
      </c>
      <c r="E7" s="18">
        <v>236000000</v>
      </c>
      <c r="F7" s="6" t="s">
        <v>94</v>
      </c>
    </row>
    <row r="8" spans="1:6" x14ac:dyDescent="0.25">
      <c r="A8" t="s">
        <v>95</v>
      </c>
      <c r="B8" s="18">
        <v>331000000</v>
      </c>
      <c r="C8" s="18">
        <v>321000000</v>
      </c>
      <c r="D8" s="18">
        <v>271000000</v>
      </c>
      <c r="E8" s="18">
        <v>208000000</v>
      </c>
      <c r="F8" s="6" t="s">
        <v>96</v>
      </c>
    </row>
    <row r="9" spans="1:6" x14ac:dyDescent="0.25">
      <c r="A9" t="s">
        <v>97</v>
      </c>
      <c r="B9" s="18">
        <v>333000000</v>
      </c>
      <c r="C9" s="18">
        <v>112000000</v>
      </c>
      <c r="D9" s="18">
        <v>211000000</v>
      </c>
      <c r="E9" s="18">
        <v>102000000</v>
      </c>
      <c r="F9" s="6" t="s">
        <v>98</v>
      </c>
    </row>
    <row r="10" spans="1:6" x14ac:dyDescent="0.25">
      <c r="A10" t="s">
        <v>99</v>
      </c>
      <c r="B10" s="18">
        <v>2063000000</v>
      </c>
      <c r="C10" s="18">
        <v>2125000000</v>
      </c>
      <c r="D10" s="18">
        <v>2390000000</v>
      </c>
      <c r="E10" s="18">
        <v>1949000000</v>
      </c>
      <c r="F10" s="6" t="s">
        <v>100</v>
      </c>
    </row>
    <row r="11" spans="1:6" x14ac:dyDescent="0.25">
      <c r="A11" t="s">
        <v>101</v>
      </c>
      <c r="B11" s="18">
        <v>1479000000</v>
      </c>
      <c r="C11" s="18">
        <v>1121000000</v>
      </c>
      <c r="D11" s="18">
        <v>1019000000</v>
      </c>
      <c r="E11" s="18">
        <v>944000000</v>
      </c>
      <c r="F11" s="6" t="s">
        <v>102</v>
      </c>
    </row>
    <row r="12" spans="1:6" x14ac:dyDescent="0.25">
      <c r="A12" t="s">
        <v>34</v>
      </c>
      <c r="B12" s="34">
        <v>244000000</v>
      </c>
      <c r="C12" s="34">
        <v>243500000</v>
      </c>
      <c r="D12" s="34">
        <v>218200000</v>
      </c>
      <c r="E12" s="34">
        <v>181000000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