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<sst xmlns="http://schemas.openxmlformats.org/spreadsheetml/2006/main" count="112" uniqueCount="100">
  <si>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Block, Inc. (XYZ)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</si>
  <si>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</si>
  <si>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</si>
  <si>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</si>
  <si>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</si>
  <si>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</si>
  <si>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</si>
  <si>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</si>
  <si>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</si>
  <si>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</si>
  <si>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</si>
  <si>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</si>
  <si>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</si>
  <si>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</si>
  <si>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</si>
  <si>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</si>
  <si>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</si>
  <si>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</si>
  <si>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</si>
  <si>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</si>
  <si>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</si>
  <si>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</si>
  <si>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</si>
  <si>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</si>
  <si>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</si>
  <si>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</si>
  <si>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</si>
  <si>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</si>
  <si>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</si>
  <si>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</si>
  <si>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</si>
  <si>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</si>
  <si>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</si>
  <si>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</si>
  <si>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</si>
  <si>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</si>
  <si>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</si>
  <si>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</si>
  <si>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</si>
  <si>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</si>
  <si>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</si>
  <si>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</si>
  <si>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</si>
  <si>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</si>
  <si>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</si>
  <si>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</si>
  <si>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</si>
  <si>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</si>
  <si>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</si>
  <si>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</si>
  <si>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</si>
  <si>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</si>
  <si>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</si>
  <si>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</si>
  <si>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</si>
  <si>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</si>
  <si>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</si>
  <si>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</si>
  <si>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</si>
  <si>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</si>
  <si>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</si>
  <si>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</si>
  <si>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</si>
  <si>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</si>
  <si>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</si>
  <si>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</si>
  <si>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</si>
  <si>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</si>
  <si>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</si>
  <si>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</si>
  <si>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</si>
  <si>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</si>
  <si>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</si>
  <si>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</si>
  <si>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</si>
  <si>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</si>
  <si>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</si>
  <si>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</si>
  <si>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</si>
  <si>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</si>
  <si>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</si>
  <si>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</si>
  <si>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</si>
  <si>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</si>
  <si>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</si>
  <si>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</si>
  <si>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</si>
  <si>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</si>
  <si>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</si>
  <si>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</si>
  <si>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</si>
  <si>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</si>
  <si>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</si>
  <si>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</si>
  <si>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</si>
  <si>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</si>
  <si>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</si>
  <si>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</si>
  <si>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0.74% of revenue, which is too low to be the company's real investment - property trusts and similar structures invest through lines that are not reported as capex. Capex has been set to 1.72%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</si>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</sst>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0.1133377071512014</v>
      </c>
    </row>
    <row r="7" spans="1:2" x14ac:dyDescent="0.25">
      <c r="A7" t="s">
        <v>5</v>
      </c>
      <c r="B7" s="6">
        <v>0.05291823406361456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0.017233223778041453</v>
      </c>
    </row>
    <row r="10" spans="1:2" x14ac:dyDescent="0.25">
      <c r="A10" t="s">
        <v>8</v>
      </c>
      <c r="B10" s="6">
        <v>0.017233223778041453</v>
      </c>
    </row>
    <row r="11" spans="1:2" x14ac:dyDescent="0.25">
      <c r="A11" t="s">
        <v>9</v>
      </c>
      <c r="B11" s="6">
        <v>0.15630756681742577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12.541381486954863</v>
      </c>
    </row>
    <row r="14" spans="1:3" x14ac:dyDescent="0.25">
      <c r="A14" t="s">
        <v>12</v>
      </c>
      <c r="B14" s="6">
        <v>0.14375615692859603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2.01974</v>
      </c>
      <c r="C19" s="8" t="s">
        <v>19</v>
      </c>
    </row>
    <row r="20" spans="1:2" x14ac:dyDescent="0.25">
      <c r="A20" t="s">
        <v>20</v>
      </c>
      <c r="B20" s="10">
        <f>B17+B19*B18</f>
        <v>0.1610657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45828640768</v>
      </c>
    </row>
    <row r="23" spans="1:2" x14ac:dyDescent="0.25">
      <c r="A23" t="s">
        <v>24</v>
      </c>
      <c r="B23" s="11">
        <v>8966376000</v>
      </c>
    </row>
    <row r="24" spans="1:2" x14ac:dyDescent="0.25">
      <c r="A24" t="s">
        <v>25</v>
      </c>
      <c r="B24" s="10">
        <f>B22/(B22+B23)</f>
        <v>0.8363651198800925</v>
      </c>
    </row>
    <row r="25" spans="1:2" x14ac:dyDescent="0.25">
      <c r="A25" t="s">
        <v>26</v>
      </c>
      <c r="B25" s="10">
        <f>1-B24</f>
        <v>0.16363488011990746</v>
      </c>
    </row>
    <row r="26" spans="1:2" x14ac:dyDescent="0.25">
      <c r="A26" t="s">
        <v>27</v>
      </c>
      <c r="B26" s="12">
        <f>B24*B20+B25*B21*(1-B8)</f>
        <v>0.14375615692859603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24193683000</v>
      </c>
      <c r="C29" s="8" t="s">
        <v>30</v>
      </c>
    </row>
    <row r="30" spans="1:2" x14ac:dyDescent="0.25">
      <c r="A30" t="s">
        <v>31</v>
      </c>
      <c r="B30" s="11">
        <v>-2997553000</v>
      </c>
    </row>
    <row r="31" spans="1:2" x14ac:dyDescent="0.25">
      <c r="A31" t="s">
        <v>32</v>
      </c>
      <c r="B31" s="13">
        <v>622838000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0.1133377071512014</v>
      </c>
      <c r="C5" s="10">
        <f>Assumptions!B6</f>
        <v>0.1133377071512014</v>
      </c>
      <c r="D5" s="10">
        <f>Assumptions!B6</f>
        <v>0.1133377071512014</v>
      </c>
      <c r="E5" s="10">
        <f>Assumptions!B6</f>
        <v>0.1133377071512014</v>
      </c>
      <c r="F5" s="10">
        <f>Assumptions!B6</f>
        <v>0.1133377071512014</v>
      </c>
    </row>
    <row r="6" spans="1:6" x14ac:dyDescent="0.25">
      <c r="A6" t="s">
        <v>43</v>
      </c>
      <c r="B6" s="18">
        <f>Assumptions!B29*(1+B5)</f>
        <v>26935739558.763</v>
      </c>
      <c r="C6" s="18">
        <f>B6*(1+C5)</f>
        <v>29988574520.775112</v>
      </c>
      <c r="D6" s="18">
        <f>C6*(1+D5)</f>
        <v>33387410797.692703</v>
      </c>
      <c r="E6" s="18">
        <f>D6*(1+E5)</f>
        <v>37171463385.21846</v>
      </c>
      <c r="F6" s="18">
        <f>E6*(1+F5)</f>
        <v>41384391816.75395</v>
      </c>
    </row>
    <row r="7" spans="1:6" x14ac:dyDescent="0.25">
      <c r="A7" t="s">
        <v>5</v>
      </c>
      <c r="B7" s="10">
        <f>Assumptions!B7</f>
        <v>0.05291823406361456</v>
      </c>
      <c r="C7" s="10">
        <f>Assumptions!B7</f>
        <v>0.05291823406361456</v>
      </c>
      <c r="D7" s="10">
        <f>Assumptions!B7</f>
        <v>0.05291823406361456</v>
      </c>
      <c r="E7" s="10">
        <f>Assumptions!B7</f>
        <v>0.05291823406361456</v>
      </c>
      <c r="F7" s="10">
        <f>Assumptions!B7</f>
        <v>0.05291823406361456</v>
      </c>
    </row>
    <row r="8" spans="1:6" x14ac:dyDescent="0.25">
      <c r="A8" t="s">
        <v>44</v>
      </c>
      <c r="B8" s="18">
        <f>B6*B7</f>
        <v>1425391770.6471825</v>
      </c>
      <c r="C8" s="18">
        <f>C6*C7</f>
        <v>1586942405.7245252</v>
      </c>
      <c r="D8" s="18">
        <f>D6*D7</f>
        <v>1766802819.3703547</v>
      </c>
      <c r="E8" s="18">
        <f>E6*E7</f>
        <v>1967048199.9060688</v>
      </c>
      <c r="F8" s="18">
        <f>F6*F7</f>
        <v>2189988932.7393208</v>
      </c>
    </row>
    <row r="9" spans="1:6" x14ac:dyDescent="0.25">
      <c r="A9" t="s">
        <v>45</v>
      </c>
      <c r="B9" s="18">
        <f>B8*(1-Assumptions!B8)</f>
        <v>1126059498.8112743</v>
      </c>
      <c r="C9" s="18">
        <f>C8*(1-Assumptions!B8)</f>
        <v>1253684500.5223749</v>
      </c>
      <c r="D9" s="18">
        <f>D8*(1-Assumptions!B8)</f>
        <v>1395774227.3025804</v>
      </c>
      <c r="E9" s="18">
        <f>E8*(1-Assumptions!B8)</f>
        <v>1553968077.9257944</v>
      </c>
      <c r="F9" s="18">
        <f>F8*(1-Assumptions!B8)</f>
        <v>1730091256.8640635</v>
      </c>
    </row>
    <row r="10" spans="1:6" x14ac:dyDescent="0.25">
      <c r="A10" t="s">
        <v>46</v>
      </c>
      <c r="B10" s="18">
        <f>B6*Assumptions!B9</f>
        <v>464189627.4432063</v>
      </c>
      <c r="C10" s="18">
        <f>C6*Assumptions!B9</f>
        <v>516799815.50098974</v>
      </c>
      <c r="D10" s="18">
        <f>D6*Assumptions!B9</f>
        <v>575372721.6460359</v>
      </c>
      <c r="E10" s="18">
        <f>E6*Assumptions!B9</f>
        <v>640584146.674744</v>
      </c>
      <c r="F10" s="18">
        <f>F6*Assumptions!B9</f>
        <v>713186485.0962683</v>
      </c>
    </row>
    <row r="11" spans="1:6" x14ac:dyDescent="0.25">
      <c r="A11" t="s">
        <v>47</v>
      </c>
      <c r="B11" s="18">
        <f>-B6*Assumptions!B10</f>
        <v>-464189627.4432063</v>
      </c>
      <c r="C11" s="18">
        <f>-C6*Assumptions!B10</f>
        <v>-516799815.50098974</v>
      </c>
      <c r="D11" s="18">
        <f>-D6*Assumptions!B10</f>
        <v>-575372721.6460359</v>
      </c>
      <c r="E11" s="18">
        <f>-E6*Assumptions!B10</f>
        <v>-640584146.674744</v>
      </c>
      <c r="F11" s="18">
        <f>-F6*Assumptions!B10</f>
        <v>-713186485.0962683</v>
      </c>
    </row>
    <row r="12" spans="1:6" x14ac:dyDescent="0.25">
      <c r="A12" t="s">
        <v>48</v>
      </c>
      <c r="B12" s="18">
        <f>-(B6-Assumptions!B29)*Assumptions!B11</f>
        <v>-428604188.7760083</v>
      </c>
      <c r="C12" s="18">
        <f>-(C6-B6)*Assumptions!B11</f>
        <v>-477181204.8072816</v>
      </c>
      <c r="D12" s="18">
        <f>-(D6-C6)*Assumptions!B11</f>
        <v>-531263828.455787</v>
      </c>
      <c r="E12" s="18">
        <f>-(E6-D6)*Assumptions!B11</f>
        <v>-591476052.6653352</v>
      </c>
      <c r="F12" s="18">
        <f>-(F6-E6)*Assumptions!B11</f>
        <v>-658512592.3092667</v>
      </c>
    </row>
    <row r="13" spans="1:6" x14ac:dyDescent="0.25">
      <c r="A13" s="19" t="s">
        <v>49</v>
      </c>
      <c r="B13" s="20">
        <f>B9+B10+B11+B12</f>
        <v>697455310.0352659</v>
      </c>
      <c r="C13" s="20">
        <f>C9+C10+C11+C12</f>
        <v>776503295.7150933</v>
      </c>
      <c r="D13" s="20">
        <f>D9+D10+D11+D12</f>
        <v>864510398.8467934</v>
      </c>
      <c r="E13" s="20">
        <f>E9+E10+E11+E12</f>
        <v>962492025.260459</v>
      </c>
      <c r="F13" s="20">
        <f>F9+F10+F11+F12</f>
        <v>1071578664.554797</v>
      </c>
    </row>
    <row r="14" spans="1:6" x14ac:dyDescent="0.25">
      <c r="A14" t="s">
        <v>50</v>
      </c>
      <c r="B14" s="21">
        <f>1/(1+Assumptions!$B$26)^(1-0.5*Assumptions!$B$32)</f>
        <v>0.9350466476996928</v>
      </c>
      <c r="C14" s="21">
        <f>1/(1+Assumptions!$B$26)^(2-0.5*Assumptions!$B$32)</f>
        <v>0.8175227228595956</v>
      </c>
      <c r="D14" s="21">
        <f>1/(1+Assumptions!$B$26)^(3-0.5*Assumptions!$B$32)</f>
        <v>0.7147701176577211</v>
      </c>
      <c r="E14" s="21">
        <f>1/(1+Assumptions!$B$26)^(4-0.5*Assumptions!$B$32)</f>
        <v>0.6249322579186289</v>
      </c>
      <c r="F14" s="21">
        <f>1/(1+Assumptions!$B$26)^(5-0.5*Assumptions!$B$32)</f>
        <v>0.546385918128564</v>
      </c>
    </row>
    <row r="15" spans="1:6" x14ac:dyDescent="0.25">
      <c r="A15" s="19" t="s">
        <v>51</v>
      </c>
      <c r="B15" s="20">
        <f>B13*B14</f>
        <v>652153249.5688254</v>
      </c>
      <c r="C15" s="20">
        <f>C13*C14</f>
        <v>634809088.6224527</v>
      </c>
      <c r="D15" s="20">
        <f>D13*D14</f>
        <v>617926199.500046</v>
      </c>
      <c r="E15" s="20">
        <f>E13*E14</f>
        <v>601492314.5746926</v>
      </c>
      <c r="F15" s="20">
        <f>F13*F14</f>
        <v>585495492.4797533</v>
      </c>
    </row>
    <row r="17" spans="1:2" x14ac:dyDescent="0.25">
      <c r="A17" s="22" t="s">
        <v>52</v>
      </c>
      <c r="B17" s="23">
        <f>SUM(B15:F15)</f>
        <v>3091876344.7457695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1071578664.554797</v>
      </c>
    </row>
    <row r="5" spans="1:2" x14ac:dyDescent="0.25">
      <c r="A5" t="s">
        <v>56</v>
      </c>
      <c r="B5" s="18">
        <f>IF(Assumptions!$B$33=0,B4,B4-Forecast!F11-Forecast!F10-Forecast!F12)</f>
        <v>1730091256.8640635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0.17390559496117827</v>
      </c>
    </row>
    <row r="7" spans="1:2" x14ac:dyDescent="0.25">
      <c r="A7" t="s">
        <v>58</v>
      </c>
      <c r="B7" s="18">
        <f>-MAX(Forecast!F9,0)*B6</f>
        <v>-300872549.36207765</v>
      </c>
    </row>
    <row r="8" spans="1:2" x14ac:dyDescent="0.25">
      <c r="A8" t="s">
        <v>59</v>
      </c>
      <c r="B8" s="18">
        <f>IF(OR(Assumptions!$B$33=0,Assumptions!B12&lt;=0),B5,MAX(B5+B7,0))</f>
        <v>1429218707.5019858</v>
      </c>
    </row>
    <row r="9" spans="1:2" x14ac:dyDescent="0.25">
      <c r="A9" t="s">
        <v>60</v>
      </c>
      <c r="B9" s="18">
        <f>B8*(1+Assumptions!B12)/(Assumptions!B26-Assumptions!B12)</f>
        <v>12335774523.84518</v>
      </c>
    </row>
    <row r="10" spans="1:2" x14ac:dyDescent="0.25">
      <c r="A10" t="s">
        <v>61</v>
      </c>
      <c r="B10" s="18">
        <f>B9/(1+Assumptions!B26)^(5-0.5*Assumptions!B32)</f>
        <v>6740093489.038098</v>
      </c>
    </row>
    <row r="11" spans="1:2" x14ac:dyDescent="0.25">
      <c r="A11" t="s">
        <v>62</v>
      </c>
      <c r="B11" s="18">
        <f>Forecast!B17+B10</f>
        <v>9831969833.783867</v>
      </c>
    </row>
    <row r="12" spans="1:2" x14ac:dyDescent="0.25">
      <c r="A12" t="s">
        <v>63</v>
      </c>
      <c r="B12" s="18">
        <f>-Assumptions!B30</f>
        <v>2997553000</v>
      </c>
    </row>
    <row r="13" spans="1:2" x14ac:dyDescent="0.25">
      <c r="A13" t="s">
        <v>64</v>
      </c>
      <c r="B13" s="18">
        <f>B11+B12</f>
        <v>12829522833.783867</v>
      </c>
    </row>
    <row r="14" spans="1:2" x14ac:dyDescent="0.25">
      <c r="A14" s="19" t="s">
        <v>65</v>
      </c>
      <c r="B14" s="24">
        <f>B13/Assumptions!B31</f>
        <v>20.598490833545586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2903175417.835589</v>
      </c>
    </row>
    <row r="18" spans="1:2" x14ac:dyDescent="0.25">
      <c r="A18" t="s">
        <v>60</v>
      </c>
      <c r="B18" s="18">
        <f>B17*Assumptions!B13</f>
        <v>36409830438.6257</v>
      </c>
    </row>
    <row r="19" spans="1:2" x14ac:dyDescent="0.25">
      <c r="A19" t="s">
        <v>61</v>
      </c>
      <c r="B19" s="18">
        <f>B18/(1+Assumptions!B26)^(5-0.5*Assumptions!B32)</f>
        <v>19893818633.11384</v>
      </c>
    </row>
    <row r="20" spans="1:2" x14ac:dyDescent="0.25">
      <c r="A20" t="s">
        <v>62</v>
      </c>
      <c r="B20" s="18">
        <f>Forecast!B17+B19</f>
        <v>22985694977.859608</v>
      </c>
    </row>
    <row r="21" spans="1:2" x14ac:dyDescent="0.25">
      <c r="A21" t="s">
        <v>63</v>
      </c>
      <c r="B21" s="18">
        <f>-Assumptions!B30</f>
        <v>2997553000</v>
      </c>
    </row>
    <row r="22" spans="1:2" x14ac:dyDescent="0.25">
      <c r="A22" t="s">
        <v>64</v>
      </c>
      <c r="B22" s="18">
        <f>B20+B21</f>
        <v>25983247977.859608</v>
      </c>
    </row>
    <row r="23" spans="1:2" x14ac:dyDescent="0.25">
      <c r="A23" s="19" t="s">
        <v>65</v>
      </c>
      <c r="B23" s="25">
        <f>B22/Assumptions!B31</f>
        <v>41.717505961196345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20.598490833545586</v>
      </c>
    </row>
    <row r="29" spans="1:2" x14ac:dyDescent="0.25">
      <c r="A29" s="19" t="s">
        <v>73</v>
      </c>
      <c r="B29" s="12">
        <f>B28/B26-1</f>
        <v>-0.7299621023394653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0.123756</v>
      </c>
      <c r="B5" s="31">
        <v>23.473688618072178</v>
      </c>
      <c r="C5" s="31">
        <v>23.540074166053415</v>
      </c>
      <c r="D5" s="31">
        <v>23.60645971403465</v>
      </c>
      <c r="E5" s="31">
        <v>23.672845262015883</v>
      </c>
      <c r="F5" s="31">
        <v>23.739230809997125</v>
      </c>
    </row>
    <row r="6" spans="1:6" x14ac:dyDescent="0.25">
      <c r="A6" s="30">
        <v>0.133756</v>
      </c>
      <c r="B6" s="31">
        <v>21.866512378276052</v>
      </c>
      <c r="C6" s="31">
        <v>21.92553417808638</v>
      </c>
      <c r="D6" s="31">
        <v>21.9845559778967</v>
      </c>
      <c r="E6" s="31">
        <v>22.04357777770703</v>
      </c>
      <c r="F6" s="31">
        <v>22.10259957751735</v>
      </c>
    </row>
    <row r="7" spans="1:6" x14ac:dyDescent="0.25">
      <c r="A7" s="30">
        <v>0.143756</v>
      </c>
      <c r="B7" s="31">
        <v>20.492934388424377</v>
      </c>
      <c r="C7" s="31">
        <v>20.54572269134695</v>
      </c>
      <c r="D7" s="32">
        <v>20.59851099426952</v>
      </c>
      <c r="E7" s="31">
        <v>20.651299297192097</v>
      </c>
      <c r="F7" s="31">
        <v>20.70408760011467</v>
      </c>
    </row>
    <row r="8" spans="1:6" x14ac:dyDescent="0.25">
      <c r="A8" s="30">
        <v>0.153756</v>
      </c>
      <c r="B8" s="31">
        <v>19.306874224647313</v>
      </c>
      <c r="C8" s="31">
        <v>19.354333266454258</v>
      </c>
      <c r="D8" s="31">
        <v>19.401792308261207</v>
      </c>
      <c r="E8" s="31">
        <v>19.449251350068153</v>
      </c>
      <c r="F8" s="31">
        <v>19.4967103918751</v>
      </c>
    </row>
    <row r="9" spans="1:6" x14ac:dyDescent="0.25">
      <c r="A9" s="30">
        <v>0.163756</v>
      </c>
      <c r="B9" s="31">
        <v>18.27353651773084</v>
      </c>
      <c r="C9" s="31">
        <v>18.31640005361783</v>
      </c>
      <c r="D9" s="31">
        <v>18.35926358950483</v>
      </c>
      <c r="E9" s="31">
        <v>18.402127125391832</v>
      </c>
      <c r="F9" s="31">
        <v>18.444990661278826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24193683000</v>
      </c>
      <c r="C5" s="18">
        <v>24121053000</v>
      </c>
      <c r="D5" s="18">
        <v>21915623000</v>
      </c>
      <c r="E5" s="18">
        <v>17531587000</v>
      </c>
      <c r="F5" s="8" t="s">
        <v>84</v>
      </c>
    </row>
    <row r="6" spans="1:6" x14ac:dyDescent="0.25">
      <c r="A6" t="s">
        <v>44</v>
      </c>
      <c r="B6" s="18">
        <v>3045652000</v>
      </c>
      <c r="C6" s="18">
        <v>1686548000</v>
      </c>
      <c r="D6" s="18">
        <v>381824000</v>
      </c>
      <c r="E6" s="18">
        <v>-27278000</v>
      </c>
      <c r="F6" s="8" t="s">
        <v>85</v>
      </c>
    </row>
    <row r="7" spans="1:6" x14ac:dyDescent="0.25">
      <c r="A7" t="s">
        <v>86</v>
      </c>
      <c r="B7" s="18">
        <v>369529000</v>
      </c>
      <c r="C7" s="18">
        <v>376127000</v>
      </c>
      <c r="D7" s="18">
        <v>408560000</v>
      </c>
      <c r="E7" s="18">
        <v>340523000</v>
      </c>
      <c r="F7" s="8" t="s">
        <v>87</v>
      </c>
    </row>
    <row r="8" spans="1:6" x14ac:dyDescent="0.25">
      <c r="A8" t="s">
        <v>88</v>
      </c>
      <c r="B8" s="18">
        <v>155038000</v>
      </c>
      <c r="C8" s="18">
        <v>153947000</v>
      </c>
      <c r="D8" s="18">
        <v>151151000</v>
      </c>
      <c r="E8" s="18">
        <v>170815000</v>
      </c>
      <c r="F8" s="8" t="s">
        <v>89</v>
      </c>
    </row>
    <row r="9" spans="1:6" x14ac:dyDescent="0.25">
      <c r="A9" t="s">
        <v>90</v>
      </c>
      <c r="B9" s="18">
        <v>841504000</v>
      </c>
      <c r="C9" s="18">
        <v>-207286000</v>
      </c>
      <c r="D9" s="18">
        <v>685258000</v>
      </c>
      <c r="E9" s="18">
        <v>599941000</v>
      </c>
      <c r="F9" s="8" t="s">
        <v>91</v>
      </c>
    </row>
    <row r="10" spans="1:6" x14ac:dyDescent="0.25">
      <c r="A10" t="s">
        <v>92</v>
      </c>
      <c r="B10" s="18">
        <v>8966376000</v>
      </c>
      <c r="C10" s="18">
        <v>7918613000</v>
      </c>
      <c r="D10" s="18">
        <v>6071517000</v>
      </c>
      <c r="E10" s="18">
        <v>6332764000</v>
      </c>
      <c r="F10" s="8" t="s">
        <v>93</v>
      </c>
    </row>
    <row r="11" spans="1:6" x14ac:dyDescent="0.25">
      <c r="A11" t="s">
        <v>94</v>
      </c>
      <c r="B11" s="18">
        <v>11963929000</v>
      </c>
      <c r="C11" s="18">
        <v>12749513000</v>
      </c>
      <c r="D11" s="18">
        <v>9416426000</v>
      </c>
      <c r="E11" s="18">
        <v>8806377000</v>
      </c>
      <c r="F11" s="8" t="s">
        <v>95</v>
      </c>
    </row>
    <row r="12" spans="1:6" x14ac:dyDescent="0.25">
      <c r="A12" t="s">
        <v>32</v>
      </c>
      <c r="B12" s="34">
        <v>622838000</v>
      </c>
      <c r="C12" s="34">
        <v>636390000</v>
      </c>
      <c r="D12" s="34">
        <v>614024000</v>
      </c>
      <c r="E12" s="34">
        <v>578949000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2026-09-19T01:05:23Z</dcterms:modified>
</cp:coreProperties>
</file>