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<sst xmlns="http://schemas.openxmlformats.org/spreadsheetml/2006/main" count="120" uniqueCount="107">
  <si>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Block, Inc. (XYZ)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</si>
  <si>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</si>
  <si>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</si>
  <si>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</si>
  <si>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</si>
  <si>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</si>
  <si>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</si>
  <si>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</si>
  <si>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</si>
  <si>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</si>
  <si>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</si>
  <si>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</si>
  <si>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</si>
  <si>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</si>
  <si>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</si>
  <si>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</si>
  <si>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</si>
  <si>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</si>
  <si>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</si>
  <si>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</si>
  <si>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</si>
  <si>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</si>
  <si>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</si>
  <si>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</si>
  <si>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</si>
  <si>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</si>
  <si>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</si>
  <si>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</si>
  <si>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</si>
  <si>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</si>
  <si>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</si>
  <si>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</si>
  <si>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</si>
  <si>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</si>
  <si>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</si>
  <si>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</si>
  <si>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</si>
  <si>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</si>
  <si>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</si>
  <si>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</si>
  <si>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</si>
  <si>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</si>
  <si>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</si>
  <si>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</si>
  <si>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</si>
  <si>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</si>
  <si>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</si>
  <si>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</si>
  <si>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</si>
  <si>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</si>
  <si>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</si>
  <si>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</si>
  <si>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</si>
  <si>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</si>
  <si>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</si>
  <si>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</si>
  <si>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</si>
  <si>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</si>
  <si>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</si>
  <si>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</si>
  <si>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</si>
  <si>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</si>
  <si>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</si>
  <si>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</si>
  <si>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</si>
  <si>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</si>
  <si>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</si>
  <si>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</si>
  <si>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</si>
  <si>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</si>
  <si>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</si>
  <si>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</si>
  <si>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</si>
  <si>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</si>
  <si>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</si>
  <si>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</si>
  <si>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</si>
  <si>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</si>
  <si>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</si>
  <si>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</si>
  <si>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</si>
  <si>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</si>
  <si>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</si>
  <si>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</si>
  <si>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</si>
  <si>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</si>
  <si>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</si>
  <si>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</si>
  <si>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</si>
  <si>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</si>
  <si>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</si>
  <si>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</si>
  <si>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</si>
  <si>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</si>
  <si>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</si>
  <si>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</si>
  <si>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</si>
  <si>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</si>
  <si>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</si>
  <si>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</si>
  <si>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</si>
  <si>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</si>
  <si>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</si>
  <si>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</si>
  <si>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</si>
  <si>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0.74% of revenue, which is too low to be the company's real investment - property trusts and similar structures invest through lines that are not reported as capex. Capex has been set to 1.72%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</si>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</sst>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0.07975505713619535</v>
      </c>
    </row>
    <row r="7" spans="1:2" x14ac:dyDescent="0.25">
      <c r="A7" t="s">
        <v>4</v>
      </c>
      <c r="B7" s="5">
        <v>0.05291823406361456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0.017233223778041453</v>
      </c>
    </row>
    <row r="10" spans="1:3" x14ac:dyDescent="0.25">
      <c r="A10" t="s">
        <v>7</v>
      </c>
      <c r="B10" s="5">
        <v>0.017233223778041453</v>
      </c>
      <c r="C10" s="6" t="s">
        <v>8</v>
      </c>
    </row>
    <row r="11" spans="1:2" x14ac:dyDescent="0.25">
      <c r="A11" t="s">
        <v>9</v>
      </c>
      <c r="B11" s="5">
        <v>0.20226797945635228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12.530827200081049</v>
      </c>
    </row>
    <row r="14" spans="1:3" x14ac:dyDescent="0.25">
      <c r="A14" t="s">
        <v>12</v>
      </c>
      <c r="B14" s="5">
        <v>0.12202464967859115</v>
      </c>
      <c r="C14" s="6" t="s">
        <v>13</v>
      </c>
    </row>
    <row r="15" spans="1:3" x14ac:dyDescent="0.25">
      <c r="A15" t="s">
        <v>14</v>
      </c>
      <c r="B15" s="5">
        <v>0.017233223778041453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2.04051</v>
      </c>
      <c r="C19" s="6" t="s">
        <v>21</v>
      </c>
    </row>
    <row r="20" spans="1:2" x14ac:dyDescent="0.25">
      <c r="A20" t="s">
        <v>22</v>
      </c>
      <c r="B20" s="9">
        <f>B17+B19*B18</f>
        <v>0.135253573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45792595968</v>
      </c>
    </row>
    <row r="23" spans="1:2" x14ac:dyDescent="0.25">
      <c r="A23" t="s">
        <v>26</v>
      </c>
      <c r="B23" s="10">
        <v>8966376000</v>
      </c>
    </row>
    <row r="24" spans="1:2" x14ac:dyDescent="0.25">
      <c r="A24" t="s">
        <v>27</v>
      </c>
      <c r="B24" s="9">
        <f>B22/(B22+B23)</f>
        <v>0.8362574080967086</v>
      </c>
    </row>
    <row r="25" spans="1:2" x14ac:dyDescent="0.25">
      <c r="A25" t="s">
        <v>28</v>
      </c>
      <c r="B25" s="9">
        <f>1-B24</f>
        <v>0.16374259190329143</v>
      </c>
    </row>
    <row r="26" spans="1:2" x14ac:dyDescent="0.25">
      <c r="A26" t="s">
        <v>29</v>
      </c>
      <c r="B26" s="11">
        <f>B24*B20+B25*B21*(1-B8)</f>
        <v>0.12202464967859115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24193683000</v>
      </c>
      <c r="C29" s="6" t="s">
        <v>32</v>
      </c>
    </row>
    <row r="30" spans="1:2" x14ac:dyDescent="0.25">
      <c r="A30" t="s">
        <v>33</v>
      </c>
      <c r="B30" s="10">
        <v>-2997553000</v>
      </c>
    </row>
    <row r="31" spans="1:2" x14ac:dyDescent="0.25">
      <c r="A31" t="s">
        <v>34</v>
      </c>
      <c r="B31" s="12">
        <v>622838000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0.07975505713619535</v>
      </c>
      <c r="C5" s="5">
        <v>0.11343654070242537</v>
      </c>
      <c r="D5" s="5">
        <v>0.1023819731146222</v>
      </c>
      <c r="E5" s="5">
        <v>0.09132740552681903</v>
      </c>
      <c r="F5" s="5">
        <v>0.08027283793901585</v>
      </c>
      <c r="G5" s="5">
        <v>0.06921827035121268</v>
      </c>
      <c r="H5" s="5">
        <v>0.058163702763409514</v>
      </c>
      <c r="I5" s="5">
        <v>0.04710913517560633</v>
      </c>
      <c r="J5" s="5">
        <v>0.03605456758780316</v>
      </c>
      <c r="K5" s="5">
        <v>0.024999999999999994</v>
      </c>
    </row>
    <row r="6" spans="1:11" x14ac:dyDescent="0.25">
      <c r="A6" t="s">
        <v>50</v>
      </c>
      <c r="B6" s="18">
        <f>Assumptions!B29*(1+B5)</f>
        <v>26123251570</v>
      </c>
      <c r="C6" s="18">
        <f>B6*(1+C5)</f>
        <v>29086582860.000004</v>
      </c>
      <c r="D6" s="18">
        <f>C6*(1+D5)</f>
        <v>32064524604.368755</v>
      </c>
      <c r="E6" s="18">
        <f>D6*(1+E5)</f>
        <v>34992894445.93661</v>
      </c>
      <c r="F6" s="18">
        <f>E6*(1+F5)</f>
        <v>37801873390.81236</v>
      </c>
      <c r="G6" s="18">
        <f>F6*(1+G5)</f>
        <v>40418453682.95993</v>
      </c>
      <c r="H6" s="18">
        <f>G6*(1+H5)</f>
        <v>42769340609.13224</v>
      </c>
      <c r="I6" s="18">
        <f>H6*(1+I5)</f>
        <v>44784167257.2594</v>
      </c>
      <c r="J6" s="18">
        <f>I6*(1+J5)</f>
        <v>46398841042.49974</v>
      </c>
      <c r="K6" s="18">
        <f>J6*(1+K5)</f>
        <v>47558812068.56223</v>
      </c>
    </row>
    <row r="7" spans="1:11" x14ac:dyDescent="0.25">
      <c r="A7" t="s">
        <v>4</v>
      </c>
      <c r="B7" s="9">
        <f>Assumptions!B7</f>
        <v>0.05291823406361456</v>
      </c>
      <c r="C7" s="9">
        <f>Assumptions!B7</f>
        <v>0.05291823406361456</v>
      </c>
      <c r="D7" s="9">
        <f>Assumptions!B7</f>
        <v>0.05291823406361456</v>
      </c>
      <c r="E7" s="9">
        <f>Assumptions!B7</f>
        <v>0.05291823406361456</v>
      </c>
      <c r="F7" s="9">
        <f>Assumptions!B7</f>
        <v>0.05291823406361456</v>
      </c>
      <c r="G7" s="9">
        <f>Assumptions!B7</f>
        <v>0.05291823406361456</v>
      </c>
      <c r="H7" s="9">
        <f>Assumptions!B7</f>
        <v>0.05291823406361456</v>
      </c>
      <c r="I7" s="9">
        <f>Assumptions!B7</f>
        <v>0.05291823406361456</v>
      </c>
      <c r="J7" s="9">
        <f>Assumptions!B7</f>
        <v>0.05291823406361456</v>
      </c>
      <c r="K7" s="9">
        <f>Assumptions!B7</f>
        <v>0.05291823406361456</v>
      </c>
    </row>
    <row r="8" spans="1:11" x14ac:dyDescent="0.25">
      <c r="A8" t="s">
        <v>51</v>
      </c>
      <c r="B8" s="18">
        <f>B6*B7</f>
        <v>1382396341.0839465</v>
      </c>
      <c r="C8" s="18">
        <f>C6*C7</f>
        <v>1539210599.8961997</v>
      </c>
      <c r="D8" s="18">
        <f>D6*D7</f>
        <v>1696798018.1525137</v>
      </c>
      <c r="E8" s="18">
        <f>E6*E7</f>
        <v>1851762178.8534312</v>
      </c>
      <c r="F8" s="18">
        <f>F6*F7</f>
        <v>2000408384.1381316</v>
      </c>
      <c r="G8" s="18">
        <f>G6*G7</f>
        <v>2138873192.4842374</v>
      </c>
      <c r="H8" s="18">
        <f>H6*H7</f>
        <v>2263277977.1005154</v>
      </c>
      <c r="I8" s="18">
        <f>I6*I7</f>
        <v>2369899045.263716</v>
      </c>
      <c r="J8" s="18">
        <f>J6*J7</f>
        <v>2455344730.567447</v>
      </c>
      <c r="K8" s="18">
        <f>K6*K7</f>
        <v>2516728348.831633</v>
      </c>
    </row>
    <row r="9" spans="1:11" x14ac:dyDescent="0.25">
      <c r="A9" t="s">
        <v>52</v>
      </c>
      <c r="B9" s="18">
        <f>B8*(1-Assumptions!B8)</f>
        <v>1092093109.4563177</v>
      </c>
      <c r="C9" s="18">
        <f>C8*(1-Assumptions!B8)</f>
        <v>1215976373.9179978</v>
      </c>
      <c r="D9" s="18">
        <f>D8*(1-Assumptions!B8)</f>
        <v>1340470434.3404858</v>
      </c>
      <c r="E9" s="18">
        <f>E8*(1-Assumptions!B8)</f>
        <v>1462892121.2942107</v>
      </c>
      <c r="F9" s="18">
        <f>F8*(1-Assumptions!B8)</f>
        <v>1580322623.469124</v>
      </c>
      <c r="G9" s="18">
        <f>G8*(1-Assumptions!B8)</f>
        <v>1689709822.0625477</v>
      </c>
      <c r="H9" s="18">
        <f>H8*(1-Assumptions!B8)</f>
        <v>1787989601.9094071</v>
      </c>
      <c r="I9" s="18">
        <f>I8*(1-Assumptions!B8)</f>
        <v>1872220245.7583358</v>
      </c>
      <c r="J9" s="18">
        <f>J8*(1-Assumptions!B8)</f>
        <v>1939722337.1482835</v>
      </c>
      <c r="K9" s="18">
        <f>K8*(1-Assumptions!B8)</f>
        <v>1988215395.5769901</v>
      </c>
    </row>
    <row r="10" spans="1:11" x14ac:dyDescent="0.25">
      <c r="A10" t="s">
        <v>53</v>
      </c>
      <c r="B10" s="18">
        <f>B6*Assumptions!B9</f>
        <v>450187840.1158827</v>
      </c>
      <c r="C10" s="18">
        <f>C6*Assumptions!B9</f>
        <v>501255591.364925</v>
      </c>
      <c r="D10" s="18">
        <f>D6*Assumptions!B9</f>
        <v>552575127.8436029</v>
      </c>
      <c r="E10" s="18">
        <f>E6*Assumptions!B9</f>
        <v>603040380.6282095</v>
      </c>
      <c r="F10" s="18">
        <f>F6*Assumptions!B9</f>
        <v>651448143.3730601</v>
      </c>
      <c r="G10" s="18">
        <f>G6*Assumptions!B9</f>
        <v>696540257.0808523</v>
      </c>
      <c r="H10" s="18">
        <f>H6*Assumptions!B9</f>
        <v>737053617.5564517</v>
      </c>
      <c r="I10" s="18">
        <f>I6*Assumptions!B9</f>
        <v>771775576.0575882</v>
      </c>
      <c r="J10" s="18">
        <f>J6*Assumptions!B9</f>
        <v>799601610.7271723</v>
      </c>
      <c r="K10" s="18">
        <f>K6*Assumptions!B9</f>
        <v>819591650.9953516</v>
      </c>
    </row>
    <row r="11" spans="1:11" x14ac:dyDescent="0.25">
      <c r="A11" t="s">
        <v>54</v>
      </c>
      <c r="B11" s="18">
        <f>-B6*B19</f>
        <v>-450187840.1158827</v>
      </c>
      <c r="C11" s="18">
        <f>-C6*C19</f>
        <v>-528936163.76295274</v>
      </c>
      <c r="D11" s="18">
        <f>-D6*D19</f>
        <v>-613604255.8777628</v>
      </c>
      <c r="E11" s="18">
        <f>-E6*E19</f>
        <v>-702944520.5668352</v>
      </c>
      <c r="F11" s="18">
        <f>-F6*F19</f>
        <v>-795346448.4042011</v>
      </c>
      <c r="G11" s="18">
        <f>-G6*G19</f>
        <v>-888863628.0956872</v>
      </c>
      <c r="H11" s="18">
        <f>-H6*H19</f>
        <v>-981265150.0376501</v>
      </c>
      <c r="I11" s="18">
        <f>-I6*I19</f>
        <v>-1070111057.0632682</v>
      </c>
      <c r="J11" s="18">
        <f>-J6*J19</f>
        <v>-1152849425.3208168</v>
      </c>
      <c r="K11" s="18">
        <f>-K6*K19</f>
        <v>-1226930537.198648</v>
      </c>
    </row>
    <row r="12" spans="1:11" x14ac:dyDescent="0.25">
      <c r="A12" t="s">
        <v>55</v>
      </c>
      <c r="B12" s="18">
        <f>-(B6-Assumptions!B29)*Assumptions!B11</f>
        <v>-390289935.87638307</v>
      </c>
      <c r="C12" s="18">
        <f>-(C6-B6)*Assumptions!B11</f>
        <v>-599387032.4880867</v>
      </c>
      <c r="D12" s="18">
        <f>-(D6-C6)*Assumptions!B11</f>
        <v>-602342259.5721925</v>
      </c>
      <c r="E12" s="18">
        <f>-(E6-D6)*Assumptions!B11</f>
        <v>-592315450.9548478</v>
      </c>
      <c r="F12" s="18">
        <f>-(F6-E6)*Assumptions!B11</f>
        <v>-568166495.5154554</v>
      </c>
      <c r="G12" s="18">
        <f>-(G6-F6)*Assumptions!B11</f>
        <v>-529250408.7780005</v>
      </c>
      <c r="H12" s="18">
        <f>-(H6-G6)*Assumptions!B11</f>
        <v>-475509148.4872279</v>
      </c>
      <c r="I12" s="18">
        <f>-(I6-H6)*Assumptions!B11</f>
        <v>-407534915.07149535</v>
      </c>
      <c r="J12" s="18">
        <f>-(J6-I6)*Assumptions!B11</f>
        <v>-326596804.0217039</v>
      </c>
      <c r="K12" s="18">
        <f>-(K6-J6)*Assumptions!B11</f>
        <v>-234624995.6695721</v>
      </c>
    </row>
    <row r="13" spans="1:11" x14ac:dyDescent="0.25">
      <c r="A13" s="19" t="s">
        <v>56</v>
      </c>
      <c r="B13" s="20">
        <f>B9+B10+B11+B12</f>
        <v>701803173.5799346</v>
      </c>
      <c r="C13" s="20">
        <f>C9+C10+C11+C12</f>
        <v>588908769.0318832</v>
      </c>
      <c r="D13" s="20">
        <f>D9+D10+D11+D12</f>
        <v>677099046.7341334</v>
      </c>
      <c r="E13" s="20">
        <f>E9+E10+E11+E12</f>
        <v>770672530.400737</v>
      </c>
      <c r="F13" s="20">
        <f>F9+F10+F11+F12</f>
        <v>868257822.9225277</v>
      </c>
      <c r="G13" s="20">
        <f>G9+G10+G11+G12</f>
        <v>968136042.2697126</v>
      </c>
      <c r="H13" s="20">
        <f>H9+H10+H11+H12</f>
        <v>1068268920.9409809</v>
      </c>
      <c r="I13" s="20">
        <f>I9+I10+I11+I12</f>
        <v>1166349849.6811607</v>
      </c>
      <c r="J13" s="20">
        <f>J9+J10+J11+J12</f>
        <v>1259877718.5329351</v>
      </c>
      <c r="K13" s="20">
        <f>K9+K10+K11+K12</f>
        <v>1346251513.7041218</v>
      </c>
    </row>
    <row r="14" spans="1:11" x14ac:dyDescent="0.25">
      <c r="A14" t="s">
        <v>57</v>
      </c>
      <c r="B14" s="21">
        <f>1/(1+Assumptions!$B$26)^(1-0.5*Assumptions!$B$32)</f>
        <v>0.9440582699168193</v>
      </c>
      <c r="C14" s="21">
        <f>1/(1+Assumptions!$B$26)^(2-0.5*Assumptions!$B$32)</f>
        <v>0.8413881728777074</v>
      </c>
      <c r="D14" s="21">
        <f>1/(1+Assumptions!$B$26)^(3-0.5*Assumptions!$B$32)</f>
        <v>0.7498838578267658</v>
      </c>
      <c r="E14" s="21">
        <f>1/(1+Assumptions!$B$26)^(4-0.5*Assumptions!$B$32)</f>
        <v>0.6683310014994531</v>
      </c>
      <c r="F14" s="21">
        <f>1/(1+Assumptions!$B$26)^(5-0.5*Assumptions!$B$32)</f>
        <v>0.595647343122898</v>
      </c>
      <c r="G14" s="21">
        <f>1/(1+Assumptions!$B$26)^(6-0.5*Assumptions!$B$32)</f>
        <v>0.5308683220939253</v>
      </c>
      <c r="H14" s="21">
        <f>1/(1+Assumptions!$B$26)^(7-0.5*Assumptions!$B$32)</f>
        <v>0.4731342776168018</v>
      </c>
      <c r="I14" s="21">
        <f>1/(1+Assumptions!$B$26)^(8-0.5*Assumptions!$B$32)</f>
        <v>0.4216790404313606</v>
      </c>
      <c r="J14" s="21">
        <f>1/(1+Assumptions!$B$26)^(9-0.5*Assumptions!$B$32)</f>
        <v>0.37581976523613136</v>
      </c>
      <c r="K14" s="21">
        <f>1/(1+Assumptions!$B$26)^(10-0.5*Assumptions!$B$32)</f>
        <v>0.33494786887595257</v>
      </c>
    </row>
    <row r="15" spans="1:11" x14ac:dyDescent="0.25">
      <c r="A15" s="19" t="s">
        <v>58</v>
      </c>
      <c r="B15" s="20">
        <f>B13*B14</f>
        <v>662543089.8720063</v>
      </c>
      <c r="C15" s="20">
        <f>C13*C14</f>
        <v>495500873.167396</v>
      </c>
      <c r="D15" s="20">
        <f>D13*D14</f>
        <v>507745645.2958175</v>
      </c>
      <c r="E15" s="20">
        <f>E13*E14</f>
        <v>515064344.0708423</v>
      </c>
      <c r="F15" s="20">
        <f>F13*F14</f>
        <v>517175465.36947525</v>
      </c>
      <c r="G15" s="20">
        <f>G13*G14</f>
        <v>513952756.3183759</v>
      </c>
      <c r="H15" s="20">
        <f>H13*H14</f>
        <v>505434644.2098914</v>
      </c>
      <c r="I15" s="20">
        <f>I13*I14</f>
        <v>491825285.42081356</v>
      </c>
      <c r="J15" s="20">
        <f>J13*J14</f>
        <v>473486948.4052805</v>
      </c>
      <c r="K15" s="20">
        <f>K13*K14</f>
        <v>450924075.48622084</v>
      </c>
    </row>
    <row r="17" spans="1:2" x14ac:dyDescent="0.25">
      <c r="A17" s="22" t="s">
        <v>59</v>
      </c>
      <c r="B17" s="23">
        <f>SUM(B15:K15)</f>
        <v>5133653127.616119</v>
      </c>
    </row>
    <row r="19" spans="1:11" x14ac:dyDescent="0.25">
      <c r="A19" t="s">
        <v>7</v>
      </c>
      <c r="B19" s="9">
        <f>Assumptions!$B$10+($B$20-Assumptions!$B$10)*0/9</f>
        <v>0.017233223778041453</v>
      </c>
      <c r="C19" s="9">
        <f>Assumptions!$B$10+($B$20-Assumptions!$B$10)*1/9</f>
        <v>0.018184884979746043</v>
      </c>
      <c r="D19" s="9">
        <f>Assumptions!$B$10+($B$20-Assumptions!$B$10)*2/9</f>
        <v>0.019136546181450633</v>
      </c>
      <c r="E19" s="9">
        <f>Assumptions!$B$10+($B$20-Assumptions!$B$10)*3/9</f>
        <v>0.020088207383155223</v>
      </c>
      <c r="F19" s="9">
        <f>Assumptions!$B$10+($B$20-Assumptions!$B$10)*4/9</f>
        <v>0.021039868584859813</v>
      </c>
      <c r="G19" s="9">
        <f>Assumptions!$B$10+($B$20-Assumptions!$B$10)*5/9</f>
        <v>0.021991529786564407</v>
      </c>
      <c r="H19" s="9">
        <f>Assumptions!$B$10+($B$20-Assumptions!$B$10)*6/9</f>
        <v>0.022943190988268997</v>
      </c>
      <c r="I19" s="9">
        <f>Assumptions!$B$10+($B$20-Assumptions!$B$10)*7/9</f>
        <v>0.023894852189973587</v>
      </c>
      <c r="J19" s="9">
        <f>Assumptions!$B$10+($B$20-Assumptions!$B$10)*8/9</f>
        <v>0.024846513391678177</v>
      </c>
      <c r="K19" s="9">
        <f>Assumptions!$B$10+($B$20-Assumptions!$B$10)*9/9</f>
        <v>0.025798174593382767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0.025798174593382767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1346251513.7041218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1988215395.5769901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0.20487663816982196</v>
      </c>
    </row>
    <row r="7" spans="1:2" x14ac:dyDescent="0.25">
      <c r="A7" t="s">
        <v>66</v>
      </c>
      <c r="B7" s="18">
        <f>-MAX(B5,0)*B6</f>
        <v>-407338886.2032964</v>
      </c>
    </row>
    <row r="8" spans="1:2" x14ac:dyDescent="0.25">
      <c r="A8" t="s">
        <v>67</v>
      </c>
      <c r="B8" s="18">
        <f>IF(OR(Assumptions!$B$33=0,Assumptions!B12&lt;=0),B5,MAX(B5+B7,0))</f>
        <v>1580876509.3736937</v>
      </c>
    </row>
    <row r="9" spans="1:2" x14ac:dyDescent="0.25">
      <c r="A9" t="s">
        <v>68</v>
      </c>
      <c r="B9" s="18">
        <f>B8*(1+Assumptions!B12)/(Assumptions!B26-Assumptions!B12)</f>
        <v>16700894334.335152</v>
      </c>
    </row>
    <row r="10" spans="1:2" x14ac:dyDescent="0.25">
      <c r="A10" t="s">
        <v>69</v>
      </c>
      <c r="B10" s="18">
        <f>B9/(1+Assumptions!B26)^(10-0.5*Assumptions!B32)</f>
        <v>5593928965.608029</v>
      </c>
    </row>
    <row r="11" spans="1:2" x14ac:dyDescent="0.25">
      <c r="A11" t="s">
        <v>70</v>
      </c>
      <c r="B11" s="18">
        <f>Forecast!B17+B10</f>
        <v>10727582093.224148</v>
      </c>
    </row>
    <row r="12" spans="1:2" x14ac:dyDescent="0.25">
      <c r="A12" t="s">
        <v>71</v>
      </c>
      <c r="B12" s="18">
        <f>-Assumptions!B30</f>
        <v>2997553000</v>
      </c>
    </row>
    <row r="13" spans="1:2" x14ac:dyDescent="0.25">
      <c r="A13" t="s">
        <v>72</v>
      </c>
      <c r="B13" s="18">
        <f>B11+B12</f>
        <v>13725135093.224148</v>
      </c>
    </row>
    <row r="14" spans="1:2" x14ac:dyDescent="0.25">
      <c r="A14" s="19" t="s">
        <v>73</v>
      </c>
      <c r="B14" s="24">
        <f>B13/Assumptions!B31</f>
        <v>22.036444618382546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3336319999.8269844</v>
      </c>
    </row>
    <row r="18" spans="1:2" x14ac:dyDescent="0.25">
      <c r="A18" t="s">
        <v>68</v>
      </c>
      <c r="B18" s="18">
        <f>B17*Assumptions!B13</f>
        <v>41806849402.00638</v>
      </c>
    </row>
    <row r="19" spans="1:2" x14ac:dyDescent="0.25">
      <c r="A19" t="s">
        <v>69</v>
      </c>
      <c r="B19" s="18">
        <f>B18/(1+Assumptions!B26)^(10-0.5*Assumptions!B32)</f>
        <v>14003115111.619928</v>
      </c>
    </row>
    <row r="20" spans="1:2" x14ac:dyDescent="0.25">
      <c r="A20" t="s">
        <v>70</v>
      </c>
      <c r="B20" s="18">
        <f>Forecast!B17+B19</f>
        <v>19136768239.236046</v>
      </c>
    </row>
    <row r="21" spans="1:2" x14ac:dyDescent="0.25">
      <c r="A21" t="s">
        <v>71</v>
      </c>
      <c r="B21" s="18">
        <f>-Assumptions!B30</f>
        <v>2997553000</v>
      </c>
    </row>
    <row r="22" spans="1:2" x14ac:dyDescent="0.25">
      <c r="A22" t="s">
        <v>72</v>
      </c>
      <c r="B22" s="18">
        <f>B20+B21</f>
        <v>22134321239.236046</v>
      </c>
    </row>
    <row r="23" spans="1:2" x14ac:dyDescent="0.25">
      <c r="A23" s="19" t="s">
        <v>73</v>
      </c>
      <c r="B23" s="25">
        <f>B22/Assumptions!B31</f>
        <v>35.5378465013953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76.22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22.036444618382546</v>
      </c>
    </row>
    <row r="29" spans="1:2" x14ac:dyDescent="0.25">
      <c r="A29" s="19" t="s">
        <v>81</v>
      </c>
      <c r="B29" s="11">
        <f>B28/B26-1</f>
        <v>-0.7108836969511605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0.102025</v>
      </c>
      <c r="B5" s="31">
        <v>26.853432389095087</v>
      </c>
      <c r="C5" s="31">
        <v>26.55498717096324</v>
      </c>
      <c r="D5" s="31">
        <v>26.256541952831387</v>
      </c>
      <c r="E5" s="31">
        <v>25.95809673469954</v>
      </c>
      <c r="F5" s="31">
        <v>25.659651516567692</v>
      </c>
    </row>
    <row r="6" spans="1:6" x14ac:dyDescent="0.25">
      <c r="A6" s="30">
        <v>0.112025</v>
      </c>
      <c r="B6" s="31">
        <v>24.458575722289698</v>
      </c>
      <c r="C6" s="31">
        <v>24.201125799289688</v>
      </c>
      <c r="D6" s="31">
        <v>23.943675876289678</v>
      </c>
      <c r="E6" s="31">
        <v>23.686225953289664</v>
      </c>
      <c r="F6" s="31">
        <v>23.42877603028965</v>
      </c>
    </row>
    <row r="7" spans="1:6" x14ac:dyDescent="0.25">
      <c r="A7" s="30">
        <v>0.122025</v>
      </c>
      <c r="B7" s="31">
        <v>22.484484701292892</v>
      </c>
      <c r="C7" s="31">
        <v>22.260434208651702</v>
      </c>
      <c r="D7" s="32">
        <v>22.036383716010505</v>
      </c>
      <c r="E7" s="31">
        <v>21.812333223369315</v>
      </c>
      <c r="F7" s="31">
        <v>21.58828273072812</v>
      </c>
    </row>
    <row r="8" spans="1:6" x14ac:dyDescent="0.25">
      <c r="A8" s="30">
        <v>0.132025</v>
      </c>
      <c r="B8" s="31">
        <v>20.833463103446398</v>
      </c>
      <c r="C8" s="31">
        <v>20.637005099376676</v>
      </c>
      <c r="D8" s="31">
        <v>20.440547095306947</v>
      </c>
      <c r="E8" s="31">
        <v>20.244089091237225</v>
      </c>
      <c r="F8" s="31">
        <v>20.0476310871675</v>
      </c>
    </row>
    <row r="9" spans="1:6" x14ac:dyDescent="0.25">
      <c r="A9" s="30">
        <v>0.142025</v>
      </c>
      <c r="B9" s="31">
        <v>19.435507077011277</v>
      </c>
      <c r="C9" s="31">
        <v>19.26211459195966</v>
      </c>
      <c r="D9" s="31">
        <v>19.088722106908037</v>
      </c>
      <c r="E9" s="31">
        <v>18.915329621856415</v>
      </c>
      <c r="F9" s="31">
        <v>18.741937136804793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24193683000</v>
      </c>
      <c r="C5" s="18">
        <v>24121053000</v>
      </c>
      <c r="D5" s="18">
        <v>21915623000</v>
      </c>
      <c r="E5" s="18">
        <v>17531587000</v>
      </c>
      <c r="F5" s="6" t="s">
        <v>91</v>
      </c>
    </row>
    <row r="6" spans="1:6" x14ac:dyDescent="0.25">
      <c r="A6" t="s">
        <v>51</v>
      </c>
      <c r="B6" s="18">
        <v>3045652000</v>
      </c>
      <c r="C6" s="18">
        <v>1686548000</v>
      </c>
      <c r="D6" s="18">
        <v>381824000</v>
      </c>
      <c r="E6" s="18">
        <v>-27278000</v>
      </c>
      <c r="F6" s="6" t="s">
        <v>92</v>
      </c>
    </row>
    <row r="7" spans="1:6" x14ac:dyDescent="0.25">
      <c r="A7" t="s">
        <v>93</v>
      </c>
      <c r="B7" s="18">
        <v>369529000</v>
      </c>
      <c r="C7" s="18">
        <v>376127000</v>
      </c>
      <c r="D7" s="18">
        <v>408560000</v>
      </c>
      <c r="E7" s="18">
        <v>340523000</v>
      </c>
      <c r="F7" s="6" t="s">
        <v>94</v>
      </c>
    </row>
    <row r="8" spans="1:6" x14ac:dyDescent="0.25">
      <c r="A8" t="s">
        <v>95</v>
      </c>
      <c r="B8" s="18">
        <v>155038000</v>
      </c>
      <c r="C8" s="18">
        <v>153947000</v>
      </c>
      <c r="D8" s="18">
        <v>151151000</v>
      </c>
      <c r="E8" s="18">
        <v>170815000</v>
      </c>
      <c r="F8" s="6" t="s">
        <v>96</v>
      </c>
    </row>
    <row r="9" spans="1:6" x14ac:dyDescent="0.25">
      <c r="A9" t="s">
        <v>97</v>
      </c>
      <c r="B9" s="18">
        <v>841504000</v>
      </c>
      <c r="C9" s="18">
        <v>-207286000</v>
      </c>
      <c r="D9" s="18">
        <v>685258000</v>
      </c>
      <c r="E9" s="18">
        <v>599941000</v>
      </c>
      <c r="F9" s="6" t="s">
        <v>98</v>
      </c>
    </row>
    <row r="10" spans="1:6" x14ac:dyDescent="0.25">
      <c r="A10" t="s">
        <v>99</v>
      </c>
      <c r="B10" s="18">
        <v>8966376000</v>
      </c>
      <c r="C10" s="18">
        <v>7918613000</v>
      </c>
      <c r="D10" s="18">
        <v>6071517000</v>
      </c>
      <c r="E10" s="18">
        <v>6332764000</v>
      </c>
      <c r="F10" s="6" t="s">
        <v>100</v>
      </c>
    </row>
    <row r="11" spans="1:6" x14ac:dyDescent="0.25">
      <c r="A11" t="s">
        <v>101</v>
      </c>
      <c r="B11" s="18">
        <v>11963929000</v>
      </c>
      <c r="C11" s="18">
        <v>12749513000</v>
      </c>
      <c r="D11" s="18">
        <v>9416426000</v>
      </c>
      <c r="E11" s="18">
        <v>8806377000</v>
      </c>
      <c r="F11" s="6" t="s">
        <v>102</v>
      </c>
    </row>
    <row r="12" spans="1:6" x14ac:dyDescent="0.25">
      <c r="A12" t="s">
        <v>34</v>
      </c>
      <c r="B12" s="34">
        <v>622838000</v>
      </c>
      <c r="C12" s="34">
        <v>636390000</v>
      </c>
      <c r="D12" s="34">
        <v>614024000</v>
      </c>
      <c r="E12" s="34">
        <v>578949000</v>
      </c>
      <c r="F12" s="6" t="s">
        <v>103</v>
      </c>
    </row>
    <row r="15" spans="1:1" x14ac:dyDescent="0.25">
      <c r="A15" s="19" t="s">
        <v>104</v>
      </c>
    </row>
    <row r="16" ht="86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