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<sst xmlns="http://schemas.openxmlformats.org/spreadsheetml/2006/main" count="121" uniqueCount="108">
  <si>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Yum! Brands, Inc. (YUM)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</si>
  <si>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</si>
  <si>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</si>
  <si>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</si>
  <si>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</si>
  <si>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</si>
  <si>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</si>
  <si>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</si>
  <si>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</si>
  <si>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</si>
  <si>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</si>
  <si>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</si>
  <si>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</si>
  <si>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</si>
  <si>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</si>
  <si>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</si>
  <si>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</si>
  <si>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</si>
  <si>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</si>
  <si>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</si>
  <si>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</si>
  <si>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</si>
  <si>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</si>
  <si>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</si>
  <si>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5.0x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</si>
  <si>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</si>
  <si>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</si>
  <si>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</si>
  <si>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</si>
  <si>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</si>
  <si>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</si>
  <si>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</si>
  <si>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</si>
  <si>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</si>
  <si>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</si>
  <si>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</si>
  <si>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</si>
  <si>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</si>
  <si>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</si>
  <si>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</si>
  <si>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</si>
  <si>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</si>
  <si>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</si>
  <si>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</si>
  <si>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</si>
  <si>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</si>
  <si>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</si>
  <si>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</si>
  <si>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</si>
  <si>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</si>
  <si>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</si>
  <si>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</si>
  <si>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</si>
  <si>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</si>
  <si>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</si>
  <si>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</si>
  <si>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</si>
  <si>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</si>
  <si>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</si>
  <si>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</si>
  <si>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</si>
  <si>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</si>
  <si>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</si>
  <si>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</si>
  <si>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</si>
  <si>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</si>
  <si>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</si>
  <si>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</si>
  <si>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</si>
  <si>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</si>
  <si>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</si>
  <si>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</si>
  <si>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</si>
  <si>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</si>
  <si>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</si>
  <si>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</si>
  <si>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</si>
  <si>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</si>
  <si>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</si>
  <si>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</si>
  <si>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</si>
  <si>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</si>
  <si>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</si>
  <si>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</si>
  <si>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</si>
  <si>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</si>
  <si>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</si>
  <si>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</si>
  <si>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</si>
  <si>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</si>
  <si>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</si>
  <si>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</si>
  <si>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</si>
  <si>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</si>
  <si>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</si>
  <si>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</si>
  <si>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</si>
  <si>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</si>
  <si>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</si>
  <si>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</si>
  <si>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</si>
  <si>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</si>
  <si>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</si>
  <si>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</si>
  <si>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</si>
  <si>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4.0% of revenue against depreciation of 2.3%.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</si>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</sst>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0.056122314341368496</v>
      </c>
    </row>
    <row r="7" spans="1:2" x14ac:dyDescent="0.25">
      <c r="A7" t="s">
        <v>4</v>
      </c>
      <c r="B7" s="5">
        <v>0.31712941078859647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0.02280554673445341</v>
      </c>
    </row>
    <row r="10" spans="1:3" x14ac:dyDescent="0.25">
      <c r="A10" t="s">
        <v>7</v>
      </c>
      <c r="B10" s="5">
        <v>0.04006639393896601</v>
      </c>
      <c r="C10" s="6" t="s">
        <v>8</v>
      </c>
    </row>
    <row r="11" spans="1:2" x14ac:dyDescent="0.25">
      <c r="A11" t="s">
        <v>9</v>
      </c>
      <c r="B11" s="5">
        <v>0.06825760521882793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0.539103104041702</v>
      </c>
      <c r="C14" s="6" t="s">
        <v>13</v>
      </c>
    </row>
    <row r="15" spans="1:3" x14ac:dyDescent="0.25">
      <c r="A15" t="s">
        <v>14</v>
      </c>
      <c r="B15" s="5">
        <v>0.02280554673445341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0.68309</v>
      </c>
      <c r="C19" s="6" t="s">
        <v>21</v>
      </c>
    </row>
    <row r="20" spans="1:2" x14ac:dyDescent="0.25">
      <c r="A20" t="s">
        <v>22</v>
      </c>
      <c r="B20" s="9">
        <f>B17+B19*B18</f>
        <v>0.077834707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43009212416</v>
      </c>
    </row>
    <row r="23" spans="1:2" x14ac:dyDescent="0.25">
      <c r="A23" t="s">
        <v>26</v>
      </c>
      <c r="B23" s="10">
        <v>13189000000</v>
      </c>
    </row>
    <row r="24" spans="1:2" x14ac:dyDescent="0.25">
      <c r="A24" t="s">
        <v>27</v>
      </c>
      <c r="B24" s="9">
        <f>B22/(B22+B23)</f>
        <v>0.7653128198745872</v>
      </c>
    </row>
    <row r="25" spans="1:2" x14ac:dyDescent="0.25">
      <c r="A25" t="s">
        <v>28</v>
      </c>
      <c r="B25" s="9">
        <f>1-B24</f>
        <v>0.2346871801254128</v>
      </c>
    </row>
    <row r="26" spans="1:2" x14ac:dyDescent="0.25">
      <c r="A26" t="s">
        <v>29</v>
      </c>
      <c r="B26" s="11">
        <f>B24*B20+B25*B21*(1-B8)</f>
        <v>0.07008765807253185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8214000000</v>
      </c>
      <c r="C29" s="6" t="s">
        <v>32</v>
      </c>
    </row>
    <row r="30" spans="1:2" x14ac:dyDescent="0.25">
      <c r="A30" t="s">
        <v>33</v>
      </c>
      <c r="B30" s="10">
        <v>12480000000</v>
      </c>
    </row>
    <row r="31" spans="1:2" x14ac:dyDescent="0.25">
      <c r="A31" t="s">
        <v>34</v>
      </c>
      <c r="B31" s="12">
        <v>281000000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0.056122314341368496</v>
      </c>
      <c r="C5" s="5">
        <v>-0.0038233110365012424</v>
      </c>
      <c r="D5" s="5">
        <v>-0.0002203971569385869</v>
      </c>
      <c r="E5" s="5">
        <v>0.0033825167226240686</v>
      </c>
      <c r="F5" s="5">
        <v>0.006985430602186725</v>
      </c>
      <c r="G5" s="5">
        <v>0.01058834448174938</v>
      </c>
      <c r="H5" s="5">
        <v>0.014191258361312034</v>
      </c>
      <c r="I5" s="5">
        <v>0.017794172240874692</v>
      </c>
      <c r="J5" s="5">
        <v>0.021397086120437347</v>
      </c>
      <c r="K5" s="5">
        <v>0.025</v>
      </c>
    </row>
    <row r="6" spans="1:11" x14ac:dyDescent="0.25">
      <c r="A6" t="s">
        <v>50</v>
      </c>
      <c r="B6" s="18">
        <f>Assumptions!B29*(1+B5)</f>
        <v>8674988690</v>
      </c>
      <c r="C6" s="18">
        <f>B6*(1+C5)</f>
        <v>8641821510</v>
      </c>
      <c r="D6" s="18">
        <f>C6*(1+D5)</f>
        <v>8639916877.108425</v>
      </c>
      <c r="E6" s="18">
        <f>D6*(1+E5)</f>
        <v>8669141540.427326</v>
      </c>
      <c r="F6" s="18">
        <f>E6*(1+F5)</f>
        <v>8729699227.038517</v>
      </c>
      <c r="G6" s="18">
        <f>F6*(1+G5)</f>
        <v>8822132289.676462</v>
      </c>
      <c r="H6" s="18">
        <f>G6*(1+H5)</f>
        <v>8947329448.296934</v>
      </c>
      <c r="I6" s="18">
        <f>H6*(1+I5)</f>
        <v>9106539769.595781</v>
      </c>
      <c r="J6" s="18">
        <f>I6*(1+J5)</f>
        <v>9301393185.30501</v>
      </c>
      <c r="K6" s="18">
        <f>J6*(1+K5)</f>
        <v>9533928014.937634</v>
      </c>
    </row>
    <row r="7" spans="1:11" x14ac:dyDescent="0.25">
      <c r="A7" t="s">
        <v>4</v>
      </c>
      <c r="B7" s="9">
        <f>Assumptions!B7</f>
        <v>0.31712941078859647</v>
      </c>
      <c r="C7" s="9">
        <f>Assumptions!B7</f>
        <v>0.31712941078859647</v>
      </c>
      <c r="D7" s="9">
        <f>Assumptions!B7</f>
        <v>0.31712941078859647</v>
      </c>
      <c r="E7" s="9">
        <f>Assumptions!B7</f>
        <v>0.31712941078859647</v>
      </c>
      <c r="F7" s="9">
        <f>Assumptions!B7</f>
        <v>0.31712941078859647</v>
      </c>
      <c r="G7" s="9">
        <f>Assumptions!B7</f>
        <v>0.31712941078859647</v>
      </c>
      <c r="H7" s="9">
        <f>Assumptions!B7</f>
        <v>0.31712941078859647</v>
      </c>
      <c r="I7" s="9">
        <f>Assumptions!B7</f>
        <v>0.31712941078859647</v>
      </c>
      <c r="J7" s="9">
        <f>Assumptions!B7</f>
        <v>0.31712941078859647</v>
      </c>
      <c r="K7" s="9">
        <f>Assumptions!B7</f>
        <v>0.31712941078859647</v>
      </c>
    </row>
    <row r="8" spans="1:11" x14ac:dyDescent="0.25">
      <c r="A8" t="s">
        <v>51</v>
      </c>
      <c r="B8" s="18">
        <f>B6*B7</f>
        <v>2751094051.8574386</v>
      </c>
      <c r="C8" s="18">
        <f>C6*C7</f>
        <v>2740575763.606519</v>
      </c>
      <c r="D8" s="18">
        <f>D6*D7</f>
        <v>2739971748.4998455</v>
      </c>
      <c r="E8" s="18">
        <f>E6*E7</f>
        <v>2749239748.7586637</v>
      </c>
      <c r="F8" s="18">
        <f>F6*F7</f>
        <v>2768444372.232391</v>
      </c>
      <c r="G8" s="18">
        <f>G6*G7</f>
        <v>2797757614.924148</v>
      </c>
      <c r="H8" s="18">
        <f>H6*H7</f>
        <v>2837461316.0698647</v>
      </c>
      <c r="I8" s="18">
        <f>I6*I7</f>
        <v>2887951591.454831</v>
      </c>
      <c r="J8" s="18">
        <f>J6*J7</f>
        <v>2949745340.368844</v>
      </c>
      <c r="K8" s="18">
        <f>K6*K7</f>
        <v>3023488973.8780646</v>
      </c>
    </row>
    <row r="9" spans="1:11" x14ac:dyDescent="0.25">
      <c r="A9" t="s">
        <v>52</v>
      </c>
      <c r="B9" s="18">
        <f>B8*(1-Assumptions!B8)</f>
        <v>2173364300.9673767</v>
      </c>
      <c r="C9" s="18">
        <f>C8*(1-Assumptions!B8)</f>
        <v>2165054853.2491503</v>
      </c>
      <c r="D9" s="18">
        <f>D8*(1-Assumptions!B8)</f>
        <v>2164577681.314878</v>
      </c>
      <c r="E9" s="18">
        <f>E8*(1-Assumptions!B8)</f>
        <v>2171899401.5193443</v>
      </c>
      <c r="F9" s="18">
        <f>F8*(1-Assumptions!B8)</f>
        <v>2187071054.063589</v>
      </c>
      <c r="G9" s="18">
        <f>G8*(1-Assumptions!B8)</f>
        <v>2210228515.790077</v>
      </c>
      <c r="H9" s="18">
        <f>H8*(1-Assumptions!B8)</f>
        <v>2241594439.6951933</v>
      </c>
      <c r="I9" s="18">
        <f>I8*(1-Assumptions!B8)</f>
        <v>2281481757.2493167</v>
      </c>
      <c r="J9" s="18">
        <f>J8*(1-Assumptions!B8)</f>
        <v>2330298818.891387</v>
      </c>
      <c r="K9" s="18">
        <f>K8*(1-Assumptions!B8)</f>
        <v>2388556289.3636713</v>
      </c>
    </row>
    <row r="10" spans="1:11" x14ac:dyDescent="0.25">
      <c r="A10" t="s">
        <v>53</v>
      </c>
      <c r="B10" s="18">
        <f>B6*Assumptions!B9</f>
        <v>197837859.99064976</v>
      </c>
      <c r="C10" s="18">
        <f>C6*Assumptions!B9</f>
        <v>197081464.31710973</v>
      </c>
      <c r="D10" s="18">
        <f>D6*Assumptions!B9</f>
        <v>197038028.12268895</v>
      </c>
      <c r="E10" s="18">
        <f>E6*Assumptions!B9</f>
        <v>197704512.54780683</v>
      </c>
      <c r="F10" s="18">
        <f>F6*Assumptions!B9</f>
        <v>199085563.69994873</v>
      </c>
      <c r="G10" s="18">
        <f>G6*Assumptions!B9</f>
        <v>201193550.22974703</v>
      </c>
      <c r="H10" s="18">
        <f>H6*Assumptions!B9</f>
        <v>204048739.881687</v>
      </c>
      <c r="I10" s="18">
        <f>I6*Assumptions!B9</f>
        <v>207679618.3046752</v>
      </c>
      <c r="J10" s="18">
        <f>J6*Assumptions!B9</f>
        <v>212123356.98299986</v>
      </c>
      <c r="K10" s="18">
        <f>K6*Assumptions!B9</f>
        <v>217426440.90757483</v>
      </c>
    </row>
    <row r="11" spans="1:11" x14ac:dyDescent="0.25">
      <c r="A11" t="s">
        <v>54</v>
      </c>
      <c r="B11" s="18">
        <f>-B6*B19</f>
        <v>-347575514.2696147</v>
      </c>
      <c r="C11" s="18">
        <f>-C6*C19</f>
        <v>-340828360.2849443</v>
      </c>
      <c r="D11" s="18">
        <f>-D6*D19</f>
        <v>-335336172.16851974</v>
      </c>
      <c r="E11" s="18">
        <f>-E6*E19</f>
        <v>-331035058.53216285</v>
      </c>
      <c r="F11" s="18">
        <f>-F6*F19</f>
        <v>-327874118.54750276</v>
      </c>
      <c r="G11" s="18">
        <f>-G6*G19</f>
        <v>-325814446.4017047</v>
      </c>
      <c r="H11" s="18">
        <f>-H6*H19</f>
        <v>-324828350.79069173</v>
      </c>
      <c r="I11" s="18">
        <f>-I6*I19</f>
        <v>-324898767.84402984</v>
      </c>
      <c r="J11" s="18">
        <f>-J6*J19</f>
        <v>-326018850.6480651</v>
      </c>
      <c r="K11" s="18">
        <f>-K6*K19</f>
        <v>-328191722.6995206</v>
      </c>
    </row>
    <row r="12" spans="1:11" x14ac:dyDescent="0.25">
      <c r="A12" t="s">
        <v>55</v>
      </c>
      <c r="B12" s="18">
        <f>-(B6-Assumptions!B29)*Assumptions!B11</f>
        <v>-31465984.01236465</v>
      </c>
      <c r="C12" s="18">
        <f>-(C6-B6)*Assumptions!B11</f>
        <v>2263912.278661805</v>
      </c>
      <c r="D12" s="18">
        <f>-(D6-C6)*Assumptions!B11</f>
        <v>130005.67999991146</v>
      </c>
      <c r="E12" s="18">
        <f>-(E6-D6)*Assumptions!B11</f>
        <v>-1994805.5314747102</v>
      </c>
      <c r="F12" s="18">
        <f>-(F6-E6)*Assumptions!B11</f>
        <v>-4133522.665672163</v>
      </c>
      <c r="G12" s="18">
        <f>-(G6-F6)*Assumptions!B11</f>
        <v>-6309259.498708055</v>
      </c>
      <c r="H12" s="18">
        <f>-(H6-G6)*Assumptions!B11</f>
        <v>-8545658.227635155</v>
      </c>
      <c r="I12" s="18">
        <f>-(I6-H6)*Assumptions!B11</f>
        <v>-10867315.257979464</v>
      </c>
      <c r="J12" s="18">
        <f>-(J6-I6)*Assumptions!B11</f>
        <v>-13300227.525020683</v>
      </c>
      <c r="K12" s="18">
        <f>-(K6-J6)*Assumptions!B11</f>
        <v>-15872270.600691037</v>
      </c>
    </row>
    <row r="13" spans="1:11" x14ac:dyDescent="0.25">
      <c r="A13" s="19" t="s">
        <v>56</v>
      </c>
      <c r="B13" s="20">
        <f>B9+B10+B11+B12</f>
        <v>1992160662.676047</v>
      </c>
      <c r="C13" s="20">
        <f>C9+C10+C11+C12</f>
        <v>2023571869.5599773</v>
      </c>
      <c r="D13" s="20">
        <f>D9+D10+D11+D12</f>
        <v>2026409542.9490469</v>
      </c>
      <c r="E13" s="20">
        <f>E9+E10+E11+E12</f>
        <v>2036574050.0035133</v>
      </c>
      <c r="F13" s="20">
        <f>F9+F10+F11+F12</f>
        <v>2054148976.550363</v>
      </c>
      <c r="G13" s="20">
        <f>G9+G10+G11+G12</f>
        <v>2079298360.1194112</v>
      </c>
      <c r="H13" s="20">
        <f>H9+H10+H11+H12</f>
        <v>2112269170.5585535</v>
      </c>
      <c r="I13" s="20">
        <f>I9+I10+I11+I12</f>
        <v>2153395292.4519825</v>
      </c>
      <c r="J13" s="20">
        <f>J9+J10+J11+J12</f>
        <v>2203103097.701301</v>
      </c>
      <c r="K13" s="20">
        <f>K9+K10+K11+K12</f>
        <v>2261918736.9710345</v>
      </c>
    </row>
    <row r="14" spans="1:11" x14ac:dyDescent="0.25">
      <c r="A14" t="s">
        <v>57</v>
      </c>
      <c r="B14" s="21">
        <f>1/(1+Assumptions!$B$26)^(1-0.5*Assumptions!$B$32)</f>
        <v>0.9666968922929304</v>
      </c>
      <c r="C14" s="21">
        <f>1/(1+Assumptions!$B$26)^(2-0.5*Assumptions!$B$32)</f>
        <v>0.9033810314513566</v>
      </c>
      <c r="D14" s="21">
        <f>1/(1+Assumptions!$B$26)^(3-0.5*Assumptions!$B$32)</f>
        <v>0.8442121770458962</v>
      </c>
      <c r="E14" s="21">
        <f>1/(1+Assumptions!$B$26)^(4-0.5*Assumptions!$B$32)</f>
        <v>0.7889187121048681</v>
      </c>
      <c r="F14" s="21">
        <f>1/(1+Assumptions!$B$26)^(5-0.5*Assumptions!$B$32)</f>
        <v>0.7372468097855532</v>
      </c>
      <c r="G14" s="21">
        <f>1/(1+Assumptions!$B$26)^(6-0.5*Assumptions!$B$32)</f>
        <v>0.6889592681720116</v>
      </c>
      <c r="H14" s="21">
        <f>1/(1+Assumptions!$B$26)^(7-0.5*Assumptions!$B$32)</f>
        <v>0.643834421390283</v>
      </c>
      <c r="I14" s="21">
        <f>1/(1+Assumptions!$B$26)^(8-0.5*Assumptions!$B$32)</f>
        <v>0.6016651220424067</v>
      </c>
      <c r="J14" s="21">
        <f>1/(1+Assumptions!$B$26)^(9-0.5*Assumptions!$B$32)</f>
        <v>0.5622577902880785</v>
      </c>
      <c r="K14" s="21">
        <f>1/(1+Assumptions!$B$26)^(10-0.5*Assumptions!$B$32)</f>
        <v>0.5254315252087208</v>
      </c>
    </row>
    <row r="15" spans="1:11" x14ac:dyDescent="0.25">
      <c r="A15" s="19" t="s">
        <v>58</v>
      </c>
      <c r="B15" s="20">
        <f>B13*B14</f>
        <v>1925815521.5571597</v>
      </c>
      <c r="C15" s="20">
        <f>C13*C14</f>
        <v>1828056442.7390423</v>
      </c>
      <c r="D15" s="20">
        <f>D13*D14</f>
        <v>1710719611.8395944</v>
      </c>
      <c r="E15" s="20">
        <f>E13*E14</f>
        <v>1606691376.6349669</v>
      </c>
      <c r="F15" s="20">
        <f>F13*F14</f>
        <v>1514414779.7860143</v>
      </c>
      <c r="G15" s="20">
        <f>G13*G14</f>
        <v>1432551876.4991333</v>
      </c>
      <c r="H15" s="20">
        <f>H13*H14</f>
        <v>1359951599.2470994</v>
      </c>
      <c r="I15" s="20">
        <f>I13*I14</f>
        <v>1295622841.438666</v>
      </c>
      <c r="J15" s="20">
        <f>J13*J14</f>
        <v>1238711879.4903543</v>
      </c>
      <c r="K15" s="20">
        <f>K13*K14</f>
        <v>1188483411.8648741</v>
      </c>
    </row>
    <row r="17" spans="1:2" x14ac:dyDescent="0.25">
      <c r="A17" s="22" t="s">
        <v>59</v>
      </c>
      <c r="B17" s="23">
        <f>SUM(B15:K15)</f>
        <v>15101019341.096903</v>
      </c>
    </row>
    <row r="19" spans="1:11" x14ac:dyDescent="0.25">
      <c r="A19" t="s">
        <v>7</v>
      </c>
      <c r="B19" s="9">
        <f>Assumptions!$B$10+($B$20-Assumptions!$B$10)*0/9</f>
        <v>0.04006639393896601</v>
      </c>
      <c r="C19" s="9">
        <f>Assumptions!$B$10+($B$20-Assumptions!$B$10)*1/9</f>
        <v>0.039439412152929815</v>
      </c>
      <c r="D19" s="9">
        <f>Assumptions!$B$10+($B$20-Assumptions!$B$10)*2/9</f>
        <v>0.03881243036689362</v>
      </c>
      <c r="E19" s="9">
        <f>Assumptions!$B$10+($B$20-Assumptions!$B$10)*3/9</f>
        <v>0.03818544858085743</v>
      </c>
      <c r="F19" s="9">
        <f>Assumptions!$B$10+($B$20-Assumptions!$B$10)*4/9</f>
        <v>0.037558466794821235</v>
      </c>
      <c r="G19" s="9">
        <f>Assumptions!$B$10+($B$20-Assumptions!$B$10)*5/9</f>
        <v>0.03693148500878504</v>
      </c>
      <c r="H19" s="9">
        <f>Assumptions!$B$10+($B$20-Assumptions!$B$10)*6/9</f>
        <v>0.03630450322274885</v>
      </c>
      <c r="I19" s="9">
        <f>Assumptions!$B$10+($B$20-Assumptions!$B$10)*7/9</f>
        <v>0.035677521436712656</v>
      </c>
      <c r="J19" s="9">
        <f>Assumptions!$B$10+($B$20-Assumptions!$B$10)*8/9</f>
        <v>0.03505053965067646</v>
      </c>
      <c r="K19" s="9">
        <f>Assumptions!$B$10+($B$20-Assumptions!$B$10)*9/9</f>
        <v>0.03442355786464027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0.03442355786464027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2261918736.9710345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2388556289.3636713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0.046373318596336886</v>
      </c>
    </row>
    <row r="7" spans="1:2" x14ac:dyDescent="0.25">
      <c r="A7" t="s">
        <v>66</v>
      </c>
      <c r="B7" s="18">
        <f>-MAX(B5,0)*B6</f>
        <v>-110765281.79194577</v>
      </c>
    </row>
    <row r="8" spans="1:2" x14ac:dyDescent="0.25">
      <c r="A8" t="s">
        <v>67</v>
      </c>
      <c r="B8" s="18">
        <f>IF(OR(Assumptions!$B$33=0,Assumptions!B12&lt;=0),B5,MAX(B5+B7,0))</f>
        <v>2277791007.5717254</v>
      </c>
    </row>
    <row r="9" spans="1:2" x14ac:dyDescent="0.25">
      <c r="A9" t="s">
        <v>68</v>
      </c>
      <c r="B9" s="18">
        <f>B8*(1+Assumptions!B12)/(Assumptions!B26-Assumptions!B12)</f>
        <v>51782147988.3733</v>
      </c>
    </row>
    <row r="10" spans="1:2" x14ac:dyDescent="0.25">
      <c r="A10" t="s">
        <v>69</v>
      </c>
      <c r="B10" s="18">
        <f>B9/(1+Assumptions!B26)^(10-0.5*Assumptions!B32)</f>
        <v>27207972996.114677</v>
      </c>
    </row>
    <row r="11" spans="1:2" x14ac:dyDescent="0.25">
      <c r="A11" t="s">
        <v>70</v>
      </c>
      <c r="B11" s="18">
        <f>Forecast!B17+B10</f>
        <v>42308992337.21158</v>
      </c>
    </row>
    <row r="12" spans="1:2" x14ac:dyDescent="0.25">
      <c r="A12" t="s">
        <v>71</v>
      </c>
      <c r="B12" s="18">
        <f>-Assumptions!B30</f>
        <v>-12480000000</v>
      </c>
    </row>
    <row r="13" spans="1:2" x14ac:dyDescent="0.25">
      <c r="A13" t="s">
        <v>72</v>
      </c>
      <c r="B13" s="18">
        <f>B11+B12</f>
        <v>29828992337.21158</v>
      </c>
    </row>
    <row r="14" spans="1:2" x14ac:dyDescent="0.25">
      <c r="A14" s="19" t="s">
        <v>73</v>
      </c>
      <c r="B14" s="24">
        <f>B13/Assumptions!B31</f>
        <v>106.15299764132234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3240915414.7856393</v>
      </c>
    </row>
    <row r="18" spans="1:2" x14ac:dyDescent="0.25">
      <c r="A18" t="s">
        <v>68</v>
      </c>
      <c r="B18" s="18">
        <f>B17*Assumptions!B13</f>
        <v>64818308295.71278</v>
      </c>
    </row>
    <row r="19" spans="1:2" x14ac:dyDescent="0.25">
      <c r="A19" t="s">
        <v>69</v>
      </c>
      <c r="B19" s="18">
        <f>B18/(1+Assumptions!B26)^(10-0.5*Assumptions!B32)</f>
        <v>34057582589.26545</v>
      </c>
    </row>
    <row r="20" spans="1:2" x14ac:dyDescent="0.25">
      <c r="A20" t="s">
        <v>70</v>
      </c>
      <c r="B20" s="18">
        <f>Forecast!B17+B19</f>
        <v>49158601930.36235</v>
      </c>
    </row>
    <row r="21" spans="1:2" x14ac:dyDescent="0.25">
      <c r="A21" t="s">
        <v>71</v>
      </c>
      <c r="B21" s="18">
        <f>-Assumptions!B30</f>
        <v>-12480000000</v>
      </c>
    </row>
    <row r="22" spans="1:2" x14ac:dyDescent="0.25">
      <c r="A22" t="s">
        <v>72</v>
      </c>
      <c r="B22" s="18">
        <f>B20+B21</f>
        <v>36678601930.36235</v>
      </c>
    </row>
    <row r="23" spans="1:2" x14ac:dyDescent="0.25">
      <c r="A23" s="19" t="s">
        <v>73</v>
      </c>
      <c r="B23" s="25">
        <f>B22/Assumptions!B31</f>
        <v>130.5288324923927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157.6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106.15299764132234</v>
      </c>
    </row>
    <row r="29" spans="1:2" x14ac:dyDescent="0.25">
      <c r="A29" s="19" t="s">
        <v>81</v>
      </c>
      <c r="B29" s="11">
        <f>B28/B26-1</f>
        <v>-0.326440370296178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0.050088</v>
      </c>
      <c r="B5" s="31">
        <v>165.02459935761397</v>
      </c>
      <c r="C5" s="31">
        <v>188.90813960410006</v>
      </c>
      <c r="D5" s="31">
        <v>222.3992423359534</v>
      </c>
      <c r="E5" s="31">
        <v>272.67201335168636</v>
      </c>
      <c r="F5" s="31">
        <v>356.41024270022444</v>
      </c>
    </row>
    <row r="6" spans="1:6" x14ac:dyDescent="0.25">
      <c r="A6" s="30">
        <v>0.060088</v>
      </c>
      <c r="B6" s="31">
        <v>119.06196113183049</v>
      </c>
      <c r="C6" s="31">
        <v>131.57736725235603</v>
      </c>
      <c r="D6" s="31">
        <v>147.71884399364964</v>
      </c>
      <c r="E6" s="31">
        <v>169.29412398372003</v>
      </c>
      <c r="F6" s="31">
        <v>199.5520532338733</v>
      </c>
    </row>
    <row r="7" spans="1:6" x14ac:dyDescent="0.25">
      <c r="A7" s="30">
        <v>0.070088</v>
      </c>
      <c r="B7" s="31">
        <v>89.80457228667859</v>
      </c>
      <c r="C7" s="31">
        <v>97.14269267608688</v>
      </c>
      <c r="D7" s="32">
        <v>106.15189135004914</v>
      </c>
      <c r="E7" s="31">
        <v>117.45744705203741</v>
      </c>
      <c r="F7" s="31">
        <v>132.04104455805467</v>
      </c>
    </row>
    <row r="8" spans="1:6" x14ac:dyDescent="0.25">
      <c r="A8" s="30">
        <v>0.080088</v>
      </c>
      <c r="B8" s="31">
        <v>69.55107205194696</v>
      </c>
      <c r="C8" s="31">
        <v>74.17204413760842</v>
      </c>
      <c r="D8" s="31">
        <v>79.6655975786006</v>
      </c>
      <c r="E8" s="31">
        <v>86.29304686801495</v>
      </c>
      <c r="F8" s="31">
        <v>94.43161959914303</v>
      </c>
    </row>
    <row r="9" spans="1:6" x14ac:dyDescent="0.25">
      <c r="A9" s="30">
        <v>0.090088</v>
      </c>
      <c r="B9" s="31">
        <v>54.70282791354941</v>
      </c>
      <c r="C9" s="31">
        <v>57.75784332576187</v>
      </c>
      <c r="D9" s="31">
        <v>61.30927945942738</v>
      </c>
      <c r="E9" s="31">
        <v>65.48105974055117</v>
      </c>
      <c r="F9" s="31">
        <v>70.44209867341486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8214000000</v>
      </c>
      <c r="C5" s="18">
        <v>7549000000</v>
      </c>
      <c r="D5" s="18">
        <v>7076000000</v>
      </c>
      <c r="E5" s="18">
        <v>6842000000</v>
      </c>
      <c r="F5" s="6" t="s">
        <v>91</v>
      </c>
    </row>
    <row r="6" spans="1:6" x14ac:dyDescent="0.25">
      <c r="A6" t="s">
        <v>51</v>
      </c>
      <c r="B6" s="18">
        <v>2530000000</v>
      </c>
      <c r="C6" s="18">
        <v>2403000000</v>
      </c>
      <c r="D6" s="18">
        <v>2303000000</v>
      </c>
      <c r="E6" s="18">
        <v>2167000000</v>
      </c>
      <c r="F6" s="6" t="s">
        <v>92</v>
      </c>
    </row>
    <row r="7" spans="1:6" x14ac:dyDescent="0.25">
      <c r="A7" t="s">
        <v>93</v>
      </c>
      <c r="B7" s="18">
        <v>206000000</v>
      </c>
      <c r="C7" s="18">
        <v>175000000</v>
      </c>
      <c r="D7" s="18">
        <v>153000000</v>
      </c>
      <c r="E7" s="18">
        <v>146000000</v>
      </c>
      <c r="F7" s="6" t="s">
        <v>94</v>
      </c>
    </row>
    <row r="8" spans="1:6" x14ac:dyDescent="0.25">
      <c r="A8" t="s">
        <v>95</v>
      </c>
      <c r="B8" s="18">
        <v>371000000</v>
      </c>
      <c r="C8" s="18">
        <v>257000000</v>
      </c>
      <c r="D8" s="18">
        <v>285000000</v>
      </c>
      <c r="E8" s="18">
        <v>279000000</v>
      </c>
      <c r="F8" s="6" t="s">
        <v>96</v>
      </c>
    </row>
    <row r="9" spans="1:6" x14ac:dyDescent="0.25">
      <c r="A9" t="s">
        <v>97</v>
      </c>
      <c r="B9" s="18">
        <v>17000000</v>
      </c>
      <c r="C9" s="18">
        <v>86000000</v>
      </c>
      <c r="D9" s="18">
        <v>91000000</v>
      </c>
      <c r="E9" s="18">
        <v>105000000</v>
      </c>
      <c r="F9" s="6" t="s">
        <v>98</v>
      </c>
    </row>
    <row r="10" spans="1:6" x14ac:dyDescent="0.25">
      <c r="A10" t="s">
        <v>99</v>
      </c>
      <c r="B10" s="18">
        <v>13189000000</v>
      </c>
      <c r="C10" s="18">
        <v>12286000000</v>
      </c>
      <c r="D10" s="18">
        <v>12031000000</v>
      </c>
      <c r="E10" s="18">
        <v>12661000000</v>
      </c>
      <c r="F10" s="6" t="s">
        <v>100</v>
      </c>
    </row>
    <row r="11" spans="1:6" x14ac:dyDescent="0.25">
      <c r="A11" t="s">
        <v>101</v>
      </c>
      <c r="B11" s="18">
        <v>709000000</v>
      </c>
      <c r="C11" s="18">
        <v>707000000</v>
      </c>
      <c r="D11" s="18">
        <v>512000000</v>
      </c>
      <c r="E11" s="18">
        <v>367000000</v>
      </c>
      <c r="F11" s="6" t="s">
        <v>102</v>
      </c>
    </row>
    <row r="12" spans="1:6" x14ac:dyDescent="0.25">
      <c r="A12" t="s">
        <v>34</v>
      </c>
      <c r="B12" s="34">
        <v>281000000</v>
      </c>
      <c r="C12" s="34">
        <v>285000000</v>
      </c>
      <c r="D12" s="34">
        <v>285000000</v>
      </c>
      <c r="E12" s="34">
        <v>290000000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