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<sst xmlns="http://schemas.openxmlformats.org/spreadsheetml/2006/main" count="114" uniqueCount="102">
  <si>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Singapore Telecommunications Limited (Z74.SI)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</si>
  <si>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</si>
  <si>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</si>
  <si>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</si>
  <si>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</si>
  <si>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</si>
  <si>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</si>
  <si>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</si>
  <si>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</si>
  <si>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</si>
  <si>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</si>
  <si>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</si>
  <si>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</si>
  <si>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</si>
  <si>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</si>
  <si>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</si>
  <si>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</si>
  <si>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</si>
  <si>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</si>
  <si>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</si>
  <si>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</si>
  <si>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</si>
  <si>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</si>
  <si>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</si>
  <si>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</si>
  <si>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</si>
  <si>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</si>
  <si>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</si>
  <si>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</si>
  <si>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</si>
  <si>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2026-03-31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</si>
  <si>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</si>
  <si>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</si>
  <si>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</si>
  <si>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</si>
  <si>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</si>
  <si>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</si>
  <si>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</si>
  <si>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</si>
  <si>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</si>
  <si>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</si>
  <si>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</si>
  <si>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</si>
  <si>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</si>
  <si>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</si>
  <si>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</si>
  <si>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</si>
  <si>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</si>
  <si>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</si>
  <si>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</si>
  <si>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</si>
  <si>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</si>
  <si>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</si>
  <si>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</si>
  <si>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</si>
  <si>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</si>
  <si>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</si>
  <si>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</si>
  <si>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</si>
  <si>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</si>
  <si>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</si>
  <si>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</si>
  <si>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</si>
  <si>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</si>
  <si>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</si>
  <si>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</si>
  <si>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</si>
  <si>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</si>
  <si>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</si>
  <si>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</si>
  <si>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</si>
  <si>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</si>
  <si>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</si>
  <si>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</si>
  <si>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</si>
  <si>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</si>
  <si>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</si>
  <si>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</si>
  <si>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</si>
  <si>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</si>
  <si>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</si>
  <si>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</si>
  <si>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</si>
  <si>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</si>
  <si>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</si>
  <si>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</si>
  <si>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</si>
  <si>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</si>
  <si>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</si>
  <si>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</si>
  <si>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</si>
  <si>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</si>
  <si>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</si>
  <si>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</si>
  <si>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</si>
  <si>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</si>
  <si>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</si>
  <si>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</si>
  <si>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9.1% of the market price. A gap that size is a modelling failure rather than a view - most often an unusable beta, a currency or units mismatch, or a cashflow base that does not represent the business. Read the figures below as diagnostics, not as a call.</t>
  </si>
  <si>
    <t>Note: Risk-free rate is an assumption: USD assumption - no free live source available for this market.</t>
  </si>
  <si>
    <t>Current EV/EBITDA of 22.0x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</si>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</sst>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-0.008361802942960628</v>
      </c>
    </row>
    <row r="7" spans="1:2" x14ac:dyDescent="0.25">
      <c r="A7" t="s">
        <v>5</v>
      </c>
      <c r="B7" s="6">
        <v>0.07435122680036119</v>
      </c>
    </row>
    <row r="8" spans="1:2" x14ac:dyDescent="0.25">
      <c r="A8" t="s">
        <v>6</v>
      </c>
      <c r="B8" s="6">
        <v>0.13170802491198091</v>
      </c>
    </row>
    <row r="9" spans="1:2" x14ac:dyDescent="0.25">
      <c r="A9" t="s">
        <v>7</v>
      </c>
      <c r="B9" s="6">
        <v>0.17094483209049047</v>
      </c>
    </row>
    <row r="10" spans="1:2" x14ac:dyDescent="0.25">
      <c r="A10" t="s">
        <v>8</v>
      </c>
      <c r="B10" s="6">
        <v>0.2016565932223784</v>
      </c>
    </row>
    <row r="11" spans="1:2" x14ac:dyDescent="0.25">
      <c r="A11" t="s">
        <v>9</v>
      </c>
      <c r="B11" s="6">
        <v>0.17045683236063594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0.06898101287484618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0.49749999999999994</v>
      </c>
      <c r="C19" s="8" t="s">
        <v>19</v>
      </c>
    </row>
    <row r="20" spans="1:2" x14ac:dyDescent="0.25">
      <c r="A20" t="s">
        <v>20</v>
      </c>
      <c r="B20" s="10">
        <f>B17+B19*B18</f>
        <v>0.0743375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70887251968</v>
      </c>
    </row>
    <row r="23" spans="1:2" x14ac:dyDescent="0.25">
      <c r="A23" t="s">
        <v>24</v>
      </c>
      <c r="B23" s="11">
        <v>11678700000</v>
      </c>
    </row>
    <row r="24" spans="1:2" x14ac:dyDescent="0.25">
      <c r="A24" t="s">
        <v>25</v>
      </c>
      <c r="B24" s="10">
        <f>B22/(B22+B23)</f>
        <v>0.8585530751885923</v>
      </c>
    </row>
    <row r="25" spans="1:2" x14ac:dyDescent="0.25">
      <c r="A25" t="s">
        <v>26</v>
      </c>
      <c r="B25" s="10">
        <f>1-B24</f>
        <v>0.14144692481140775</v>
      </c>
    </row>
    <row r="26" spans="1:2" x14ac:dyDescent="0.25">
      <c r="A26" t="s">
        <v>27</v>
      </c>
      <c r="B26" s="12">
        <f>B24*B20+B25*B21*(1-B8)</f>
        <v>0.06898101287484618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14260600000</v>
      </c>
      <c r="C29" s="8" t="s">
        <v>30</v>
      </c>
    </row>
    <row r="30" spans="1:2" x14ac:dyDescent="0.25">
      <c r="A30" t="s">
        <v>31</v>
      </c>
      <c r="B30" s="11">
        <v>8019800000</v>
      </c>
    </row>
    <row r="31" spans="1:2" x14ac:dyDescent="0.25">
      <c r="A31" t="s">
        <v>32</v>
      </c>
      <c r="B31" s="13">
        <v>16557030000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-0.008361802942960628</v>
      </c>
      <c r="C5" s="10">
        <f>Assumptions!B6</f>
        <v>-0.008361802942960628</v>
      </c>
      <c r="D5" s="10">
        <f>Assumptions!B6</f>
        <v>-0.008361802942960628</v>
      </c>
      <c r="E5" s="10">
        <f>Assumptions!B6</f>
        <v>-0.008361802942960628</v>
      </c>
      <c r="F5" s="10">
        <f>Assumptions!B6</f>
        <v>-0.008361802942960628</v>
      </c>
    </row>
    <row r="6" spans="1:6" x14ac:dyDescent="0.25">
      <c r="A6" t="s">
        <v>43</v>
      </c>
      <c r="B6" s="18">
        <f>Assumptions!B29*(1+B5)</f>
        <v>14141355672.951616</v>
      </c>
      <c r="C6" s="18">
        <f>B6*(1+C5)</f>
        <v>14023108443.468077</v>
      </c>
      <c r="D6" s="18">
        <f>C6*(1+D5)</f>
        <v>13905849974.01603</v>
      </c>
      <c r="E6" s="18">
        <f>D6*(1+E5)</f>
        <v>13789571996.778933</v>
      </c>
      <c r="F6" s="18">
        <f>E6*(1+F5)</f>
        <v>13674266313.074099</v>
      </c>
    </row>
    <row r="7" spans="1:6" x14ac:dyDescent="0.25">
      <c r="A7" t="s">
        <v>5</v>
      </c>
      <c r="B7" s="10">
        <f>Assumptions!B7</f>
        <v>0.07435122680036119</v>
      </c>
      <c r="C7" s="10">
        <f>Assumptions!B7</f>
        <v>0.07435122680036119</v>
      </c>
      <c r="D7" s="10">
        <f>Assumptions!B7</f>
        <v>0.07435122680036119</v>
      </c>
      <c r="E7" s="10">
        <f>Assumptions!B7</f>
        <v>0.07435122680036119</v>
      </c>
      <c r="F7" s="10">
        <f>Assumptions!B7</f>
        <v>0.07435122680036119</v>
      </c>
    </row>
    <row r="8" spans="1:6" x14ac:dyDescent="0.25">
      <c r="A8" t="s">
        <v>44</v>
      </c>
      <c r="B8" s="18">
        <f>B6*B7</f>
        <v>1051427142.9042</v>
      </c>
      <c r="C8" s="18">
        <f>C6*C7</f>
        <v>1042635316.3263549</v>
      </c>
      <c r="D8" s="18">
        <f>D6*D7</f>
        <v>1033917005.2698625</v>
      </c>
      <c r="E8" s="18">
        <f>E6*E7</f>
        <v>1025271595.0124199</v>
      </c>
      <c r="F8" s="18">
        <f>F6*F7</f>
        <v>1016698475.9719111</v>
      </c>
    </row>
    <row r="9" spans="1:6" x14ac:dyDescent="0.25">
      <c r="A9" t="s">
        <v>45</v>
      </c>
      <c r="B9" s="18">
        <f>B8*(1-Assumptions!B8)</f>
        <v>912945750.5734408</v>
      </c>
      <c r="C9" s="18">
        <f>C8*(1-Assumptions!B8)</f>
        <v>905311878.1095322</v>
      </c>
      <c r="D9" s="18">
        <f>D8*(1-Assumptions!B8)</f>
        <v>897741838.5828588</v>
      </c>
      <c r="E9" s="18">
        <f>E8*(1-Assumptions!B8)</f>
        <v>890235098.2349778</v>
      </c>
      <c r="F9" s="18">
        <f>F8*(1-Assumptions!B8)</f>
        <v>882791127.7706296</v>
      </c>
    </row>
    <row r="10" spans="1:6" x14ac:dyDescent="0.25">
      <c r="A10" t="s">
        <v>46</v>
      </c>
      <c r="B10" s="18">
        <f>B6*Assumptions!B9</f>
        <v>2417391671.044619</v>
      </c>
      <c r="C10" s="18">
        <f>C6*Assumptions!B9</f>
        <v>2397177918.2553897</v>
      </c>
      <c r="D10" s="18">
        <f>D6*Assumptions!B9</f>
        <v>2377133188.8837214</v>
      </c>
      <c r="E10" s="18">
        <f>E6*Assumptions!B9</f>
        <v>2357256069.589104</v>
      </c>
      <c r="F10" s="18">
        <f>F6*Assumptions!B9</f>
        <v>2337545158.849102</v>
      </c>
    </row>
    <row r="11" spans="1:6" x14ac:dyDescent="0.25">
      <c r="A11" t="s">
        <v>47</v>
      </c>
      <c r="B11" s="18">
        <f>-B6*Assumptions!B10</f>
        <v>-2851697608.553377</v>
      </c>
      <c r="C11" s="18">
        <f>-C6*Assumptions!B10</f>
        <v>-2827852275.0977416</v>
      </c>
      <c r="D11" s="18">
        <f>-D6*Assumptions!B10</f>
        <v>-2804206331.6215715</v>
      </c>
      <c r="E11" s="18">
        <f>-E6*Assumptions!B10</f>
        <v>-2780758110.8651495</v>
      </c>
      <c r="F11" s="18">
        <f>-F6*Assumptions!B10</f>
        <v>-2757505959.5100555</v>
      </c>
    </row>
    <row r="12" spans="1:6" x14ac:dyDescent="0.25">
      <c r="A12" t="s">
        <v>48</v>
      </c>
      <c r="B12" s="18">
        <f>-(B6-Assumptions!B29)*Assumptions!B11</f>
        <v>20326010.265643187</v>
      </c>
      <c r="C12" s="18">
        <f>-(C6-B6)*Assumptions!B11</f>
        <v>20156048.173185352</v>
      </c>
      <c r="D12" s="18">
        <f>-(D6-C6)*Assumptions!B11</f>
        <v>19987507.270252384</v>
      </c>
      <c r="E12" s="18">
        <f>-(E6-D6)*Assumptions!B11</f>
        <v>19820375.67313765</v>
      </c>
      <c r="F12" s="18">
        <f>-(F6-E6)*Assumptions!B11</f>
        <v>19654641.597503398</v>
      </c>
    </row>
    <row r="13" spans="1:6" x14ac:dyDescent="0.25">
      <c r="A13" s="19" t="s">
        <v>49</v>
      </c>
      <c r="B13" s="20">
        <f>B9+B10+B11+B12</f>
        <v>498965823.33032614</v>
      </c>
      <c r="C13" s="20">
        <f>C9+C10+C11+C12</f>
        <v>494793569.4403658</v>
      </c>
      <c r="D13" s="20">
        <f>D9+D10+D11+D12</f>
        <v>490656203.11526126</v>
      </c>
      <c r="E13" s="20">
        <f>E9+E10+E11+E12</f>
        <v>486553432.63207006</v>
      </c>
      <c r="F13" s="20">
        <f>F9+F10+F11+F12</f>
        <v>482484968.7071798</v>
      </c>
    </row>
    <row r="14" spans="1:6" x14ac:dyDescent="0.25">
      <c r="A14" t="s">
        <v>50</v>
      </c>
      <c r="B14" s="21">
        <f>1/(1+Assumptions!$B$26)^(1-0.5*Assumptions!$B$32)</f>
        <v>0.9671971414708944</v>
      </c>
      <c r="C14" s="21">
        <f>1/(1+Assumptions!$B$26)^(2-0.5*Assumptions!$B$32)</f>
        <v>0.9047842102169605</v>
      </c>
      <c r="D14" s="21">
        <f>1/(1+Assumptions!$B$26)^(3-0.5*Assumptions!$B$32)</f>
        <v>0.8463987660395335</v>
      </c>
      <c r="E14" s="21">
        <f>1/(1+Assumptions!$B$26)^(4-0.5*Assumptions!$B$32)</f>
        <v>0.791780916447978</v>
      </c>
      <c r="F14" s="21">
        <f>1/(1+Assumptions!$B$26)^(5-0.5*Assumptions!$B$32)</f>
        <v>0.7406875397333907</v>
      </c>
    </row>
    <row r="15" spans="1:6" x14ac:dyDescent="0.25">
      <c r="A15" s="19" t="s">
        <v>51</v>
      </c>
      <c r="B15" s="20">
        <f>B13*B14</f>
        <v>482598318.01676273</v>
      </c>
      <c r="C15" s="20">
        <f>C13*C14</f>
        <v>447681408.9465322</v>
      </c>
      <c r="D15" s="20">
        <f>D13*D14</f>
        <v>415290804.8663998</v>
      </c>
      <c r="E15" s="20">
        <f>E13*E14</f>
        <v>385243722.79032993</v>
      </c>
      <c r="F15" s="20">
        <f>F13*F14</f>
        <v>357370604.430063</v>
      </c>
    </row>
    <row r="17" spans="1:2" x14ac:dyDescent="0.25">
      <c r="A17" s="22" t="s">
        <v>52</v>
      </c>
      <c r="B17" s="23">
        <f>SUM(B15:F15)</f>
        <v>2088184859.0500877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482484968.7071798</v>
      </c>
    </row>
    <row r="5" spans="1:2" x14ac:dyDescent="0.25">
      <c r="A5" t="s">
        <v>56</v>
      </c>
      <c r="B5" s="18">
        <f>IF(Assumptions!$B$33=0,B4,B4-Forecast!F11-Forecast!F10-Forecast!F12)</f>
        <v>1134625903.6044035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0.36241856937296746</v>
      </c>
    </row>
    <row r="7" spans="1:2" x14ac:dyDescent="0.25">
      <c r="A7" t="s">
        <v>58</v>
      </c>
      <c r="B7" s="18">
        <f>-MAX(Forecast!F9,0)*B6</f>
        <v>-411209496.7578184</v>
      </c>
    </row>
    <row r="8" spans="1:2" x14ac:dyDescent="0.25">
      <c r="A8" t="s">
        <v>59</v>
      </c>
      <c r="B8" s="18">
        <f>IF(OR(Assumptions!$B$33=0,Assumptions!B12&lt;=0),B5,MAX(B5+B7,0))</f>
        <v>723416406.846585</v>
      </c>
    </row>
    <row r="9" spans="1:2" x14ac:dyDescent="0.25">
      <c r="A9" t="s">
        <v>60</v>
      </c>
      <c r="B9" s="18">
        <f>B8*(1+Assumptions!B12)/(Assumptions!B26-Assumptions!B12)</f>
        <v>16859589367.07055</v>
      </c>
    </row>
    <row r="10" spans="1:2" x14ac:dyDescent="0.25">
      <c r="A10" t="s">
        <v>61</v>
      </c>
      <c r="B10" s="18">
        <f>B9/(1+Assumptions!B26)^(5-0.5*Assumptions!B32)</f>
        <v>12487687769.21072</v>
      </c>
    </row>
    <row r="11" spans="1:2" x14ac:dyDescent="0.25">
      <c r="A11" t="s">
        <v>62</v>
      </c>
      <c r="B11" s="18">
        <f>Forecast!B17+B10</f>
        <v>14575872628.260807</v>
      </c>
    </row>
    <row r="12" spans="1:2" x14ac:dyDescent="0.25">
      <c r="A12" t="s">
        <v>63</v>
      </c>
      <c r="B12" s="18">
        <f>-Assumptions!B30</f>
        <v>-8019800000</v>
      </c>
    </row>
    <row r="13" spans="1:2" x14ac:dyDescent="0.25">
      <c r="A13" t="s">
        <v>64</v>
      </c>
      <c r="B13" s="18">
        <f>B11+B12</f>
        <v>6556072628.260807</v>
      </c>
    </row>
    <row r="14" spans="1:2" x14ac:dyDescent="0.25">
      <c r="A14" s="19" t="s">
        <v>65</v>
      </c>
      <c r="B14" s="24">
        <f>B13/Assumptions!B31</f>
        <v>0.3959691217724922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3354243634.821013</v>
      </c>
    </row>
    <row r="18" spans="1:2" x14ac:dyDescent="0.25">
      <c r="A18" t="s">
        <v>60</v>
      </c>
      <c r="B18" s="18">
        <f>B17*Assumptions!B13</f>
        <v>67084872696.42026</v>
      </c>
    </row>
    <row r="19" spans="1:2" x14ac:dyDescent="0.25">
      <c r="A19" t="s">
        <v>61</v>
      </c>
      <c r="B19" s="18">
        <f>B18/(1+Assumptions!B26)^(5-0.5*Assumptions!B32)</f>
        <v>49688929310.83924</v>
      </c>
    </row>
    <row r="20" spans="1:2" x14ac:dyDescent="0.25">
      <c r="A20" t="s">
        <v>62</v>
      </c>
      <c r="B20" s="18">
        <f>Forecast!B17+B19</f>
        <v>51777114169.88933</v>
      </c>
    </row>
    <row r="21" spans="1:2" x14ac:dyDescent="0.25">
      <c r="A21" t="s">
        <v>63</v>
      </c>
      <c r="B21" s="18">
        <f>-Assumptions!B30</f>
        <v>-8019800000</v>
      </c>
    </row>
    <row r="22" spans="1:2" x14ac:dyDescent="0.25">
      <c r="A22" t="s">
        <v>64</v>
      </c>
      <c r="B22" s="18">
        <f>B20+B21</f>
        <v>43757314169.88933</v>
      </c>
    </row>
    <row r="23" spans="1:2" x14ac:dyDescent="0.25">
      <c r="A23" s="19" t="s">
        <v>65</v>
      </c>
      <c r="B23" s="25">
        <f>B22/Assumptions!B31</f>
        <v>2.6428238742026395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4.35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0.3959691217724922</v>
      </c>
    </row>
    <row r="29" spans="1:2" x14ac:dyDescent="0.25">
      <c r="A29" s="19" t="s">
        <v>73</v>
      </c>
      <c r="B29" s="12">
        <f>B28/B26-1</f>
        <v>-0.9089726156844845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0.048981</v>
      </c>
      <c r="B5" s="31">
        <v>0.7926461996110608</v>
      </c>
      <c r="C5" s="31">
        <v>0.7982872284063265</v>
      </c>
      <c r="D5" s="31">
        <v>0.8039282572015921</v>
      </c>
      <c r="E5" s="31">
        <v>0.8095692859968582</v>
      </c>
      <c r="F5" s="31">
        <v>0.8152103147921237</v>
      </c>
    </row>
    <row r="6" spans="1:6" x14ac:dyDescent="0.25">
      <c r="A6" s="30">
        <v>0.058981</v>
      </c>
      <c r="B6" s="31">
        <v>0.5558033101091532</v>
      </c>
      <c r="C6" s="31">
        <v>0.5602921216745976</v>
      </c>
      <c r="D6" s="31">
        <v>0.5647809332400423</v>
      </c>
      <c r="E6" s="31">
        <v>0.569269744805487</v>
      </c>
      <c r="F6" s="31">
        <v>0.5737585563709316</v>
      </c>
    </row>
    <row r="7" spans="1:6" x14ac:dyDescent="0.25">
      <c r="A7" s="30">
        <v>0.068981</v>
      </c>
      <c r="B7" s="31">
        <v>0.38861103503420275</v>
      </c>
      <c r="C7" s="31">
        <v>0.3922901710123769</v>
      </c>
      <c r="D7" s="32">
        <v>0.39596930699055066</v>
      </c>
      <c r="E7" s="31">
        <v>0.3996484429687246</v>
      </c>
      <c r="F7" s="31">
        <v>0.4033275789468988</v>
      </c>
    </row>
    <row r="8" spans="1:6" x14ac:dyDescent="0.25">
      <c r="A8" s="30">
        <v>0.078981</v>
      </c>
      <c r="B8" s="31">
        <v>0.264562099303512</v>
      </c>
      <c r="C8" s="31">
        <v>0.267643552300166</v>
      </c>
      <c r="D8" s="31">
        <v>0.2707250052968198</v>
      </c>
      <c r="E8" s="31">
        <v>0.2738064582934739</v>
      </c>
      <c r="F8" s="31">
        <v>0.2768879112901277</v>
      </c>
    </row>
    <row r="9" spans="1:6" x14ac:dyDescent="0.25">
      <c r="A9" s="30">
        <v>0.088981</v>
      </c>
      <c r="B9" s="31">
        <v>0.1690682487887006</v>
      </c>
      <c r="C9" s="31">
        <v>0.17169217501086206</v>
      </c>
      <c r="D9" s="31">
        <v>0.17431610123302352</v>
      </c>
      <c r="E9" s="31">
        <v>0.1769400274551851</v>
      </c>
      <c r="F9" s="31">
        <v>0.17956395367734657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14260600000</v>
      </c>
      <c r="C5" s="18">
        <v>14146100000</v>
      </c>
      <c r="D5" s="18">
        <v>14127500000</v>
      </c>
      <c r="E5" s="18">
        <v>14624400000</v>
      </c>
      <c r="F5" s="8" t="s">
        <v>84</v>
      </c>
    </row>
    <row r="6" spans="1:6" x14ac:dyDescent="0.25">
      <c r="A6" t="s">
        <v>44</v>
      </c>
      <c r="B6" s="18">
        <v>1249000000</v>
      </c>
      <c r="C6" s="18">
        <v>1146600000</v>
      </c>
      <c r="D6" s="18">
        <v>933600000</v>
      </c>
      <c r="E6" s="18">
        <v>916700000</v>
      </c>
      <c r="F6" s="8" t="s">
        <v>85</v>
      </c>
    </row>
    <row r="7" spans="1:6" x14ac:dyDescent="0.25">
      <c r="A7" t="s">
        <v>86</v>
      </c>
      <c r="B7" s="18">
        <v>2343900000</v>
      </c>
      <c r="C7" s="18">
        <v>2410600000</v>
      </c>
      <c r="D7" s="18">
        <v>2444000000</v>
      </c>
      <c r="E7" s="18">
        <v>2574100000</v>
      </c>
      <c r="F7" s="8" t="s">
        <v>87</v>
      </c>
    </row>
    <row r="8" spans="1:6" x14ac:dyDescent="0.25">
      <c r="A8" t="s">
        <v>88</v>
      </c>
      <c r="B8" s="18">
        <v>2603200000</v>
      </c>
      <c r="C8" s="18">
        <v>4256600000</v>
      </c>
      <c r="D8" s="18">
        <v>2362500000</v>
      </c>
      <c r="E8" s="18">
        <v>2280700000</v>
      </c>
      <c r="F8" s="8" t="s">
        <v>89</v>
      </c>
    </row>
    <row r="9" spans="1:6" x14ac:dyDescent="0.25">
      <c r="A9" t="s">
        <v>90</v>
      </c>
      <c r="B9" s="18">
        <v>-162600000</v>
      </c>
      <c r="C9" s="18">
        <v>94700000</v>
      </c>
      <c r="D9" s="18">
        <v>-84700000</v>
      </c>
      <c r="E9" s="18">
        <v>70300000</v>
      </c>
      <c r="F9" s="8" t="s">
        <v>91</v>
      </c>
    </row>
    <row r="10" spans="1:6" x14ac:dyDescent="0.25">
      <c r="A10" t="s">
        <v>92</v>
      </c>
      <c r="B10" s="18">
        <v>11678700000</v>
      </c>
      <c r="C10" s="18">
        <v>11671700000</v>
      </c>
      <c r="D10" s="18">
        <v>11899600000</v>
      </c>
      <c r="E10" s="18">
        <v>10893300000</v>
      </c>
      <c r="F10" s="8" t="s">
        <v>93</v>
      </c>
    </row>
    <row r="11" spans="1:6" x14ac:dyDescent="0.25">
      <c r="A11" t="s">
        <v>94</v>
      </c>
      <c r="B11" s="18">
        <v>3658900000</v>
      </c>
      <c r="C11" s="18">
        <v>2773200000</v>
      </c>
      <c r="D11" s="18">
        <v>4627000000</v>
      </c>
      <c r="E11" s="18">
        <v>3154400000</v>
      </c>
      <c r="F11" s="8" t="s">
        <v>95</v>
      </c>
    </row>
    <row r="12" spans="1:6" x14ac:dyDescent="0.25">
      <c r="A12" t="s">
        <v>32</v>
      </c>
      <c r="B12" s="34">
        <v>16557030000</v>
      </c>
      <c r="C12" s="34">
        <v>16558374000</v>
      </c>
      <c r="D12" s="34">
        <v>16556170000</v>
      </c>
      <c r="E12" s="34">
        <v>16555547000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2026-09-19T01:59:52Z</dcterms:modified>
</cp:coreProperties>
</file>