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<sst xmlns="http://schemas.openxmlformats.org/spreadsheetml/2006/main" count="112" uniqueCount="100">
  <si>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Zalando SE (ZAL.DE)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</si>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</sst>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0.060727275484627974</v>
      </c>
    </row>
    <row r="7" spans="1:2" x14ac:dyDescent="0.25">
      <c r="A7" t="s">
        <v>5</v>
      </c>
      <c r="B7" s="6">
        <v>0.023772134483788728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0.032254586662679025</v>
      </c>
    </row>
    <row r="10" spans="1:2" x14ac:dyDescent="0.25">
      <c r="A10" t="s">
        <v>8</v>
      </c>
      <c r="B10" s="6">
        <v>0.02437967107434393</v>
      </c>
    </row>
    <row r="11" spans="1:2" x14ac:dyDescent="0.25">
      <c r="A11" t="s">
        <v>9</v>
      </c>
      <c r="B11" s="6">
        <v>0.20936190032603633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5.98166030800303</v>
      </c>
    </row>
    <row r="14" spans="1:3" x14ac:dyDescent="0.25">
      <c r="A14" t="s">
        <v>12</v>
      </c>
      <c r="B14" s="6">
        <v>0.09250120568279196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1.3839100000000002</v>
      </c>
      <c r="C19" s="8" t="s">
        <v>19</v>
      </c>
    </row>
    <row r="20" spans="1:2" x14ac:dyDescent="0.25">
      <c r="A20" t="s">
        <v>20</v>
      </c>
      <c r="B20" s="10">
        <f>B17+B19*B18</f>
        <v>0.10903460000000001</v>
      </c>
    </row>
    <row r="21" spans="1:3" x14ac:dyDescent="0.25">
      <c r="A21" t="s">
        <v>21</v>
      </c>
      <c r="B21" s="6">
        <v>0.04603580562659847</v>
      </c>
      <c r="C21" s="8" t="s">
        <v>22</v>
      </c>
    </row>
    <row r="22" spans="1:2" x14ac:dyDescent="0.25">
      <c r="A22" t="s">
        <v>23</v>
      </c>
      <c r="B22" s="11">
        <v>5255671296</v>
      </c>
    </row>
    <row r="23" spans="1:2" x14ac:dyDescent="0.25">
      <c r="A23" t="s">
        <v>24</v>
      </c>
      <c r="B23" s="11">
        <v>1441600000</v>
      </c>
    </row>
    <row r="24" spans="1:2" x14ac:dyDescent="0.25">
      <c r="A24" t="s">
        <v>25</v>
      </c>
      <c r="B24" s="10">
        <f>B22/(B22+B23)</f>
        <v>0.784748155437423</v>
      </c>
    </row>
    <row r="25" spans="1:2" x14ac:dyDescent="0.25">
      <c r="A25" t="s">
        <v>26</v>
      </c>
      <c r="B25" s="10">
        <f>1-B24</f>
        <v>0.21525184456257695</v>
      </c>
    </row>
    <row r="26" spans="1:2" x14ac:dyDescent="0.25">
      <c r="A26" t="s">
        <v>27</v>
      </c>
      <c r="B26" s="12">
        <f>B24*B20+B25*B21*(1-B8)</f>
        <v>0.09250120568279196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12346200000</v>
      </c>
      <c r="C29" s="8" t="s">
        <v>30</v>
      </c>
    </row>
    <row r="30" spans="1:2" x14ac:dyDescent="0.25">
      <c r="A30" t="s">
        <v>31</v>
      </c>
      <c r="B30" s="11">
        <v>-517000000</v>
      </c>
    </row>
    <row r="31" spans="1:2" x14ac:dyDescent="0.25">
      <c r="A31" t="s">
        <v>32</v>
      </c>
      <c r="B31" s="13">
        <v>263200000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0.060727275484627974</v>
      </c>
      <c r="C5" s="10">
        <f>Assumptions!B6</f>
        <v>0.060727275484627974</v>
      </c>
      <c r="D5" s="10">
        <f>Assumptions!B6</f>
        <v>0.060727275484627974</v>
      </c>
      <c r="E5" s="10">
        <f>Assumptions!B6</f>
        <v>0.060727275484627974</v>
      </c>
      <c r="F5" s="10">
        <f>Assumptions!B6</f>
        <v>0.060727275484627974</v>
      </c>
    </row>
    <row r="6" spans="1:6" x14ac:dyDescent="0.25">
      <c r="A6" t="s">
        <v>43</v>
      </c>
      <c r="B6" s="18">
        <f>Assumptions!B29*(1+B5)</f>
        <v>13095951088.588314</v>
      </c>
      <c r="C6" s="18">
        <f>B6*(1+C5)</f>
        <v>13891232518.07823</v>
      </c>
      <c r="D6" s="18">
        <f>C6*(1+D5)</f>
        <v>14734809222.02459</v>
      </c>
      <c r="E6" s="18">
        <f>D6*(1+E5)</f>
        <v>15629614040.863914</v>
      </c>
      <c r="F6" s="18">
        <f>E6*(1+F5)</f>
        <v>16578757918.441866</v>
      </c>
    </row>
    <row r="7" spans="1:6" x14ac:dyDescent="0.25">
      <c r="A7" t="s">
        <v>5</v>
      </c>
      <c r="B7" s="10">
        <f>Assumptions!B7</f>
        <v>0.023772134483788728</v>
      </c>
      <c r="C7" s="10">
        <f>Assumptions!B7</f>
        <v>0.023772134483788728</v>
      </c>
      <c r="D7" s="10">
        <f>Assumptions!B7</f>
        <v>0.023772134483788728</v>
      </c>
      <c r="E7" s="10">
        <f>Assumptions!B7</f>
        <v>0.023772134483788728</v>
      </c>
      <c r="F7" s="10">
        <f>Assumptions!B7</f>
        <v>0.023772134483788728</v>
      </c>
    </row>
    <row r="8" spans="1:6" x14ac:dyDescent="0.25">
      <c r="A8" t="s">
        <v>44</v>
      </c>
      <c r="B8" s="18">
        <f>B6*B7</f>
        <v>311318710.4710408</v>
      </c>
      <c r="C8" s="18">
        <f>C6*C7</f>
        <v>330224247.5653348</v>
      </c>
      <c r="D8" s="18">
        <f>D6*D7</f>
        <v>350277866.41893893</v>
      </c>
      <c r="E8" s="18">
        <f>E6*E7</f>
        <v>371549286.90912956</v>
      </c>
      <c r="F8" s="18">
        <f>F6*F7</f>
        <v>394112462.8113773</v>
      </c>
    </row>
    <row r="9" spans="1:6" x14ac:dyDescent="0.25">
      <c r="A9" t="s">
        <v>45</v>
      </c>
      <c r="B9" s="18">
        <f>B8*(1-Assumptions!B8)</f>
        <v>217923097.32972854</v>
      </c>
      <c r="C9" s="18">
        <f>C8*(1-Assumptions!B8)</f>
        <v>231156973.29573435</v>
      </c>
      <c r="D9" s="18">
        <f>D8*(1-Assumptions!B8)</f>
        <v>245194506.49325722</v>
      </c>
      <c r="E9" s="18">
        <f>E8*(1-Assumptions!B8)</f>
        <v>260084500.83639067</v>
      </c>
      <c r="F9" s="18">
        <f>F8*(1-Assumptions!B8)</f>
        <v>275878723.9679641</v>
      </c>
    </row>
    <row r="10" spans="1:6" x14ac:dyDescent="0.25">
      <c r="A10" t="s">
        <v>46</v>
      </c>
      <c r="B10" s="18">
        <f>B6*Assumptions!B9</f>
        <v>422404489.31707746</v>
      </c>
      <c r="C10" s="18">
        <f>C6*Assumptions!B9</f>
        <v>448055963.10577923</v>
      </c>
      <c r="D10" s="18">
        <f>D6*Assumptions!B9</f>
        <v>475265181.00983423</v>
      </c>
      <c r="E10" s="18">
        <f>E6*Assumptions!B9</f>
        <v>504126740.58527005</v>
      </c>
      <c r="F10" s="18">
        <f>F6*Assumptions!B9</f>
        <v>534740984.03995925</v>
      </c>
    </row>
    <row r="11" spans="1:6" x14ac:dyDescent="0.25">
      <c r="A11" t="s">
        <v>47</v>
      </c>
      <c r="B11" s="18">
        <f>-B6*Assumptions!B10</f>
        <v>-319274979.9454794</v>
      </c>
      <c r="C11" s="18">
        <f>-C6*Assumptions!B10</f>
        <v>-338663679.6079776</v>
      </c>
      <c r="D11" s="18">
        <f>-D6*Assumptions!B10</f>
        <v>-359229802.17616904</v>
      </c>
      <c r="E11" s="18">
        <f>-E6*Assumptions!B10</f>
        <v>-381044849.3352097</v>
      </c>
      <c r="F11" s="18">
        <f>-F6*Assumptions!B10</f>
        <v>-404184664.87278754</v>
      </c>
    </row>
    <row r="12" spans="1:6" x14ac:dyDescent="0.25">
      <c r="A12" t="s">
        <v>48</v>
      </c>
      <c r="B12" s="18">
        <f>-(B6-Assumptions!B29)*Assumptions!B11</f>
        <v>-156969312.67836383</v>
      </c>
      <c r="C12" s="18">
        <f>-(C6-B6)*Assumptions!B11</f>
        <v>-166501631.37201545</v>
      </c>
      <c r="D12" s="18">
        <f>-(D6-C6)*Assumptions!B11</f>
        <v>-176612821.808984</v>
      </c>
      <c r="E12" s="18">
        <f>-(E6-D6)*Assumptions!B11</f>
        <v>-187338037.29309574</v>
      </c>
      <c r="F12" s="18">
        <f>-(F6-E6)*Assumptions!B11</f>
        <v>-198714565.8925427</v>
      </c>
    </row>
    <row r="13" spans="1:6" x14ac:dyDescent="0.25">
      <c r="A13" s="19" t="s">
        <v>49</v>
      </c>
      <c r="B13" s="20">
        <f>B9+B10+B11+B12</f>
        <v>164083294.02296278</v>
      </c>
      <c r="C13" s="20">
        <f>C9+C10+C11+C12</f>
        <v>174047625.4215205</v>
      </c>
      <c r="D13" s="20">
        <f>D9+D10+D11+D12</f>
        <v>184617063.5179384</v>
      </c>
      <c r="E13" s="20">
        <f>E9+E10+E11+E12</f>
        <v>195828354.7933552</v>
      </c>
      <c r="F13" s="20">
        <f>F9+F10+F11+F12</f>
        <v>207720477.24259314</v>
      </c>
    </row>
    <row r="14" spans="1:6" x14ac:dyDescent="0.25">
      <c r="A14" t="s">
        <v>50</v>
      </c>
      <c r="B14" s="21">
        <f>1/(1+Assumptions!$B$26)^(1-0.5*Assumptions!$B$32)</f>
        <v>0.9567292185469337</v>
      </c>
      <c r="C14" s="21">
        <f>1/(1+Assumptions!$B$26)^(2-0.5*Assumptions!$B$32)</f>
        <v>0.8757237187202886</v>
      </c>
      <c r="D14" s="21">
        <f>1/(1+Assumptions!$B$26)^(3-0.5*Assumptions!$B$32)</f>
        <v>0.8015768899522434</v>
      </c>
      <c r="E14" s="21">
        <f>1/(1+Assumptions!$B$26)^(4-0.5*Assumptions!$B$32)</f>
        <v>0.7337080140348892</v>
      </c>
      <c r="F14" s="21">
        <f>1/(1+Assumptions!$B$26)^(5-0.5*Assumptions!$B$32)</f>
        <v>0.6715855417077878</v>
      </c>
    </row>
    <row r="15" spans="1:6" x14ac:dyDescent="0.25">
      <c r="A15" s="19" t="s">
        <v>51</v>
      </c>
      <c r="B15" s="20">
        <f>B13*B14</f>
        <v>156983281.66719595</v>
      </c>
      <c r="C15" s="20">
        <f>C13*C14</f>
        <v>152417633.76856977</v>
      </c>
      <c r="D15" s="20">
        <f>D13*D14</f>
        <v>147984771.60682485</v>
      </c>
      <c r="E15" s="20">
        <f>E13*E14</f>
        <v>143680833.28715232</v>
      </c>
      <c r="F15" s="20">
        <f>F13*F14</f>
        <v>139502069.23276713</v>
      </c>
    </row>
    <row r="17" spans="1:2" x14ac:dyDescent="0.25">
      <c r="A17" s="22" t="s">
        <v>52</v>
      </c>
      <c r="B17" s="23">
        <f>SUM(B15:F15)</f>
        <v>740568589.56251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207720477.24259314</v>
      </c>
    </row>
    <row r="5" spans="1:2" x14ac:dyDescent="0.25">
      <c r="A5" t="s">
        <v>56</v>
      </c>
      <c r="B5" s="18">
        <f>IF(Assumptions!$B$33=0,B4,B4-Forecast!F11-Forecast!F10-Forecast!F12)</f>
        <v>275878723.9679641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0.2702667475030627</v>
      </c>
    </row>
    <row r="7" spans="1:2" x14ac:dyDescent="0.25">
      <c r="A7" t="s">
        <v>58</v>
      </c>
      <c r="B7" s="18">
        <f>-MAX(Forecast!F9,0)*B6</f>
        <v>-74560845.43211688</v>
      </c>
    </row>
    <row r="8" spans="1:2" x14ac:dyDescent="0.25">
      <c r="A8" t="s">
        <v>59</v>
      </c>
      <c r="B8" s="18">
        <f>IF(OR(Assumptions!$B$33=0,Assumptions!B12&lt;=0),B5,MAX(B5+B7,0))</f>
        <v>201317878.53584725</v>
      </c>
    </row>
    <row r="9" spans="1:2" x14ac:dyDescent="0.25">
      <c r="A9" t="s">
        <v>60</v>
      </c>
      <c r="B9" s="18">
        <f>B8*(1+Assumptions!B12)/(Assumptions!B26-Assumptions!B12)</f>
        <v>3056994662.7167916</v>
      </c>
    </row>
    <row r="10" spans="1:2" x14ac:dyDescent="0.25">
      <c r="A10" t="s">
        <v>61</v>
      </c>
      <c r="B10" s="18">
        <f>B9/(1+Assumptions!B26)^(5-0.5*Assumptions!B32)</f>
        <v>2053033416.5584726</v>
      </c>
    </row>
    <row r="11" spans="1:2" x14ac:dyDescent="0.25">
      <c r="A11" t="s">
        <v>62</v>
      </c>
      <c r="B11" s="18">
        <f>Forecast!B17+B10</f>
        <v>2793602006.1209826</v>
      </c>
    </row>
    <row r="12" spans="1:2" x14ac:dyDescent="0.25">
      <c r="A12" t="s">
        <v>63</v>
      </c>
      <c r="B12" s="18">
        <f>-Assumptions!B30</f>
        <v>517000000</v>
      </c>
    </row>
    <row r="13" spans="1:2" x14ac:dyDescent="0.25">
      <c r="A13" t="s">
        <v>64</v>
      </c>
      <c r="B13" s="18">
        <f>B11+B12</f>
        <v>3310602006.1209826</v>
      </c>
    </row>
    <row r="14" spans="1:2" x14ac:dyDescent="0.25">
      <c r="A14" s="19" t="s">
        <v>65</v>
      </c>
      <c r="B14" s="24">
        <f>B13/Assumptions!B31</f>
        <v>12.578275099243855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928853446.8513365</v>
      </c>
    </row>
    <row r="18" spans="1:2" x14ac:dyDescent="0.25">
      <c r="A18" t="s">
        <v>60</v>
      </c>
      <c r="B18" s="18">
        <f>B17*Assumptions!B13</f>
        <v>5556085794.982441</v>
      </c>
    </row>
    <row r="19" spans="1:2" x14ac:dyDescent="0.25">
      <c r="A19" t="s">
        <v>61</v>
      </c>
      <c r="B19" s="18">
        <f>B18/(1+Assumptions!B26)^(5-0.5*Assumptions!B32)</f>
        <v>3731386888.3982277</v>
      </c>
    </row>
    <row r="20" spans="1:2" x14ac:dyDescent="0.25">
      <c r="A20" t="s">
        <v>62</v>
      </c>
      <c r="B20" s="18">
        <f>Forecast!B17+B19</f>
        <v>4471955477.960737</v>
      </c>
    </row>
    <row r="21" spans="1:2" x14ac:dyDescent="0.25">
      <c r="A21" t="s">
        <v>63</v>
      </c>
      <c r="B21" s="18">
        <f>-Assumptions!B30</f>
        <v>517000000</v>
      </c>
    </row>
    <row r="22" spans="1:2" x14ac:dyDescent="0.25">
      <c r="A22" t="s">
        <v>64</v>
      </c>
      <c r="B22" s="18">
        <f>B20+B21</f>
        <v>4988955477.960737</v>
      </c>
    </row>
    <row r="23" spans="1:2" x14ac:dyDescent="0.25">
      <c r="A23" s="19" t="s">
        <v>65</v>
      </c>
      <c r="B23" s="25">
        <f>B22/Assumptions!B31</f>
        <v>18.95499801656815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21.52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12.578275099243855</v>
      </c>
    </row>
    <row r="29" spans="1:2" x14ac:dyDescent="0.25">
      <c r="A29" s="19" t="s">
        <v>73</v>
      </c>
      <c r="B29" s="12">
        <f>B28/B26-1</f>
        <v>-0.415507662674542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0.072501</v>
      </c>
      <c r="B5" s="31">
        <v>15.618195386521233</v>
      </c>
      <c r="C5" s="31">
        <v>15.670950997256037</v>
      </c>
      <c r="D5" s="31">
        <v>15.723706607990836</v>
      </c>
      <c r="E5" s="31">
        <v>15.776462218725639</v>
      </c>
      <c r="F5" s="31">
        <v>15.829217829460438</v>
      </c>
    </row>
    <row r="6" spans="1:6" x14ac:dyDescent="0.25">
      <c r="A6" s="30">
        <v>0.082501</v>
      </c>
      <c r="B6" s="31">
        <v>13.868453215467541</v>
      </c>
      <c r="C6" s="31">
        <v>13.912917953427348</v>
      </c>
      <c r="D6" s="31">
        <v>13.957382691387151</v>
      </c>
      <c r="E6" s="31">
        <v>14.001847429346958</v>
      </c>
      <c r="F6" s="31">
        <v>14.04631216730676</v>
      </c>
    </row>
    <row r="7" spans="1:6" x14ac:dyDescent="0.25">
      <c r="A7" s="30">
        <v>0.092501</v>
      </c>
      <c r="B7" s="31">
        <v>12.502199829250921</v>
      </c>
      <c r="C7" s="31">
        <v>12.540250087256979</v>
      </c>
      <c r="D7" s="32">
        <v>12.578300345263031</v>
      </c>
      <c r="E7" s="31">
        <v>12.616350603269089</v>
      </c>
      <c r="F7" s="31">
        <v>12.65440086127514</v>
      </c>
    </row>
    <row r="8" spans="1:6" x14ac:dyDescent="0.25">
      <c r="A8" s="30">
        <v>0.102501</v>
      </c>
      <c r="B8" s="31">
        <v>11.406931077940627</v>
      </c>
      <c r="C8" s="31">
        <v>11.439889678369317</v>
      </c>
      <c r="D8" s="31">
        <v>11.472848278798004</v>
      </c>
      <c r="E8" s="31">
        <v>11.505806879226693</v>
      </c>
      <c r="F8" s="31">
        <v>11.538765479655382</v>
      </c>
    </row>
    <row r="9" spans="1:6" x14ac:dyDescent="0.25">
      <c r="A9" s="30">
        <v>0.112501</v>
      </c>
      <c r="B9" s="31">
        <v>10.510159569002463</v>
      </c>
      <c r="C9" s="31">
        <v>10.538992852360009</v>
      </c>
      <c r="D9" s="31">
        <v>10.567826135717556</v>
      </c>
      <c r="E9" s="31">
        <v>10.596659419075104</v>
      </c>
      <c r="F9" s="31">
        <v>10.62549270243265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12346200000</v>
      </c>
      <c r="C5" s="18">
        <v>10572500000</v>
      </c>
      <c r="D5" s="18">
        <v>10143100000</v>
      </c>
      <c r="E5" s="18">
        <v>10344800000</v>
      </c>
      <c r="F5" s="8" t="s">
        <v>84</v>
      </c>
    </row>
    <row r="6" spans="1:6" x14ac:dyDescent="0.25">
      <c r="A6" t="s">
        <v>44</v>
      </c>
      <c r="B6" s="18">
        <v>387300000</v>
      </c>
      <c r="C6" s="18">
        <v>391900000</v>
      </c>
      <c r="D6" s="18">
        <v>190900000</v>
      </c>
      <c r="E6" s="18">
        <v>81000000</v>
      </c>
      <c r="F6" s="8" t="s">
        <v>85</v>
      </c>
    </row>
    <row r="7" spans="1:6" x14ac:dyDescent="0.25">
      <c r="A7" t="s">
        <v>86</v>
      </c>
      <c r="B7" s="18">
        <v>404900000</v>
      </c>
      <c r="C7" s="18">
        <v>349900000</v>
      </c>
      <c r="D7" s="18">
        <v>334000000</v>
      </c>
      <c r="E7" s="18">
        <v>312400000</v>
      </c>
      <c r="F7" s="8" t="s">
        <v>87</v>
      </c>
    </row>
    <row r="8" spans="1:6" x14ac:dyDescent="0.25">
      <c r="A8" t="s">
        <v>88</v>
      </c>
      <c r="B8" s="18">
        <v>222500000</v>
      </c>
      <c r="C8" s="18">
        <v>206800000</v>
      </c>
      <c r="D8" s="18">
        <v>263200000</v>
      </c>
      <c r="E8" s="18">
        <v>351600000</v>
      </c>
      <c r="F8" s="8" t="s">
        <v>89</v>
      </c>
    </row>
    <row r="9" spans="1:6" x14ac:dyDescent="0.25">
      <c r="A9" t="s">
        <v>90</v>
      </c>
      <c r="B9" s="18">
        <v>-452900000</v>
      </c>
      <c r="C9" s="18">
        <v>89900000</v>
      </c>
      <c r="D9" s="18">
        <v>-410700000</v>
      </c>
      <c r="E9" s="18">
        <v>-86600000</v>
      </c>
      <c r="F9" s="8" t="s">
        <v>91</v>
      </c>
    </row>
    <row r="10" spans="1:6" x14ac:dyDescent="0.25">
      <c r="A10" t="s">
        <v>92</v>
      </c>
      <c r="B10" s="18">
        <v>1441600000</v>
      </c>
      <c r="C10" s="18">
        <v>1725500000</v>
      </c>
      <c r="D10" s="18">
        <v>1851600000</v>
      </c>
      <c r="E10" s="18">
        <v>1716700000</v>
      </c>
      <c r="F10" s="8" t="s">
        <v>93</v>
      </c>
    </row>
    <row r="11" spans="1:6" x14ac:dyDescent="0.25">
      <c r="A11" t="s">
        <v>94</v>
      </c>
      <c r="B11" s="18">
        <v>1958600000</v>
      </c>
      <c r="C11" s="18">
        <v>2690900000</v>
      </c>
      <c r="D11" s="18">
        <v>2641200000</v>
      </c>
      <c r="E11" s="18">
        <v>2060700000</v>
      </c>
      <c r="F11" s="8" t="s">
        <v>95</v>
      </c>
    </row>
    <row r="12" spans="1:6" x14ac:dyDescent="0.25">
      <c r="A12" t="s">
        <v>32</v>
      </c>
      <c r="B12" s="34">
        <v>263200000</v>
      </c>
      <c r="C12" s="34">
        <v>261700000</v>
      </c>
      <c r="D12" s="34">
        <v>261900000</v>
      </c>
      <c r="E12" s="34">
        <v>259700000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2026-09-19T01:06:39Z</dcterms:modified>
</cp:coreProperties>
</file>