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<sst xmlns="http://schemas.openxmlformats.org/spreadsheetml/2006/main" count="120" uniqueCount="107">
  <si>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Zimmer Biomet Holdings, Inc. (ZBH)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</si>
  <si>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</si>
  <si>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</si>
  <si>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</si>
  <si>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</si>
  <si>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</si>
  <si>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</si>
  <si>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</si>
  <si>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</si>
  <si>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</si>
  <si>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</si>
  <si>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</si>
  <si>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</si>
  <si>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</si>
  <si>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</si>
  <si>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</si>
  <si>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</si>
  <si>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</si>
  <si>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</si>
  <si>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</si>
  <si>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</si>
  <si>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</si>
  <si>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</si>
  <si>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</si>
  <si>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4.6x interest cover. Book interest / average debt was lower, at 4.3%.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</si>
  <si>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</si>
  <si>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</si>
  <si>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</si>
  <si>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</si>
  <si>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</si>
  <si>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</si>
  <si>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</si>
  <si>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</si>
  <si>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</si>
  <si>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</si>
  <si>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</si>
  <si>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</si>
  <si>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</si>
  <si>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</si>
  <si>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</si>
  <si>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</si>
  <si>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</si>
  <si>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</si>
  <si>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</si>
  <si>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</si>
  <si>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</si>
  <si>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</si>
  <si>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</si>
  <si>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</si>
  <si>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</si>
  <si>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</si>
  <si>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</si>
  <si>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</si>
  <si>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</si>
  <si>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</si>
  <si>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</si>
  <si>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</si>
  <si>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</si>
  <si>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</si>
  <si>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</si>
  <si>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</si>
  <si>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</si>
  <si>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</si>
  <si>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</si>
  <si>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</si>
  <si>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</si>
  <si>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</si>
  <si>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</si>
  <si>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</si>
  <si>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</si>
  <si>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</si>
  <si>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</si>
  <si>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</si>
  <si>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</si>
  <si>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</si>
  <si>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</si>
  <si>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</si>
  <si>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</si>
  <si>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</si>
  <si>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</si>
  <si>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</si>
  <si>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</si>
  <si>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</si>
  <si>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</si>
  <si>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</si>
  <si>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</si>
  <si>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</si>
  <si>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</si>
  <si>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</si>
  <si>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</si>
  <si>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</si>
  <si>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</si>
  <si>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</si>
  <si>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</si>
  <si>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</si>
  <si>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</si>
  <si>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</si>
  <si>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</si>
  <si>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</si>
  <si>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</si>
  <si>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</si>
  <si>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</si>
  <si>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</si>
  <si>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</si>
  <si>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</si>
  <si>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4.12% of revenue against depreciation and amortisation of 13.12%. A business cannot depreciate more than it invests indefinitely. Capex has been set to 13.12%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</si>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</sst>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0.04426216728421317</v>
      </c>
    </row>
    <row r="7" spans="1:2" x14ac:dyDescent="0.25">
      <c r="A7" t="s">
        <v>4</v>
      </c>
      <c r="B7" s="5">
        <v>0.18296032030558435</v>
      </c>
    </row>
    <row r="8" spans="1:2" x14ac:dyDescent="0.25">
      <c r="A8" t="s">
        <v>5</v>
      </c>
      <c r="B8" s="5">
        <v>0.13903025761695836</v>
      </c>
    </row>
    <row r="9" spans="1:2" x14ac:dyDescent="0.25">
      <c r="A9" t="s">
        <v>6</v>
      </c>
      <c r="B9" s="5">
        <v>0.13120698730690095</v>
      </c>
    </row>
    <row r="10" spans="1:3" x14ac:dyDescent="0.25">
      <c r="A10" t="s">
        <v>7</v>
      </c>
      <c r="B10" s="5">
        <v>0.13120698730690095</v>
      </c>
      <c r="C10" s="6" t="s">
        <v>8</v>
      </c>
    </row>
    <row r="11" spans="1:2" x14ac:dyDescent="0.25">
      <c r="A11" t="s">
        <v>9</v>
      </c>
      <c r="B11" s="5">
        <v>0.4580204868489819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10.186010435918368</v>
      </c>
    </row>
    <row r="14" spans="1:3" x14ac:dyDescent="0.25">
      <c r="A14" t="s">
        <v>12</v>
      </c>
      <c r="B14" s="5">
        <v>0.06846444441634893</v>
      </c>
      <c r="C14" s="6" t="s">
        <v>13</v>
      </c>
    </row>
    <row r="15" spans="1:3" x14ac:dyDescent="0.25">
      <c r="A15" t="s">
        <v>14</v>
      </c>
      <c r="B15" s="5">
        <v>0.13120698730690095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0.6549499999999999</v>
      </c>
      <c r="C19" s="6" t="s">
        <v>21</v>
      </c>
    </row>
    <row r="20" spans="1:2" x14ac:dyDescent="0.25">
      <c r="A20" t="s">
        <v>22</v>
      </c>
      <c r="B20" s="9">
        <f>B17+B19*B18</f>
        <v>0.076644385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18028525568</v>
      </c>
    </row>
    <row r="23" spans="1:2" x14ac:dyDescent="0.25">
      <c r="A23" t="s">
        <v>26</v>
      </c>
      <c r="B23" s="10">
        <v>7519100000</v>
      </c>
    </row>
    <row r="24" spans="1:2" x14ac:dyDescent="0.25">
      <c r="A24" t="s">
        <v>27</v>
      </c>
      <c r="B24" s="9">
        <f>B22/(B22+B23)</f>
        <v>0.7056830201309141</v>
      </c>
    </row>
    <row r="25" spans="1:2" x14ac:dyDescent="0.25">
      <c r="A25" t="s">
        <v>28</v>
      </c>
      <c r="B25" s="9">
        <f>1-B24</f>
        <v>0.2943169798690859</v>
      </c>
    </row>
    <row r="26" spans="1:2" x14ac:dyDescent="0.25">
      <c r="A26" t="s">
        <v>29</v>
      </c>
      <c r="B26" s="11">
        <f>B24*B20+B25*B21*(1-B8)</f>
        <v>0.06846444441634893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8231500000</v>
      </c>
      <c r="C29" s="6" t="s">
        <v>32</v>
      </c>
    </row>
    <row r="30" spans="1:2" x14ac:dyDescent="0.25">
      <c r="A30" t="s">
        <v>33</v>
      </c>
      <c r="B30" s="10">
        <v>6927200000</v>
      </c>
    </row>
    <row r="31" spans="1:2" x14ac:dyDescent="0.25">
      <c r="A31" t="s">
        <v>34</v>
      </c>
      <c r="B31" s="12">
        <v>198700000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0.04426216728421317</v>
      </c>
      <c r="C5" s="5">
        <v>0.035370622005108654</v>
      </c>
      <c r="D5" s="5">
        <v>0.034074294254470075</v>
      </c>
      <c r="E5" s="5">
        <v>0.03277796650383149</v>
      </c>
      <c r="F5" s="5">
        <v>0.03148163875319291</v>
      </c>
      <c r="G5" s="5">
        <v>0.030185311002554328</v>
      </c>
      <c r="H5" s="5">
        <v>0.028888983251915745</v>
      </c>
      <c r="I5" s="5">
        <v>0.027592655501277166</v>
      </c>
      <c r="J5" s="5">
        <v>0.026296327750638584</v>
      </c>
      <c r="K5" s="5">
        <v>0.025</v>
      </c>
    </row>
    <row r="6" spans="1:11" x14ac:dyDescent="0.25">
      <c r="A6" t="s">
        <v>50</v>
      </c>
      <c r="B6" s="18">
        <f>Assumptions!B29*(1+B5)</f>
        <v>8595844030</v>
      </c>
      <c r="C6" s="18">
        <f>B6*(1+C5)</f>
        <v>8899884380</v>
      </c>
      <c r="D6" s="18">
        <f>C6*(1+D5)</f>
        <v>9203141659.194881</v>
      </c>
      <c r="E6" s="18">
        <f>D6*(1+E5)</f>
        <v>9504801928.229988</v>
      </c>
      <c r="F6" s="18">
        <f>E6*(1+F5)</f>
        <v>9804028668.955175</v>
      </c>
      <c r="G6" s="18">
        <f>F6*(1+G5)</f>
        <v>10099966323.405546</v>
      </c>
      <c r="H6" s="18">
        <f>G6*(1+H5)</f>
        <v>10391744081.367321</v>
      </c>
      <c r="I6" s="18">
        <f>H6*(1+I5)</f>
        <v>10678479895.861925</v>
      </c>
      <c r="J6" s="18">
        <f>I6*(1+J5)</f>
        <v>10959284703.082115</v>
      </c>
      <c r="K6" s="18">
        <f>J6*(1+K5)</f>
        <v>11233266820.659166</v>
      </c>
    </row>
    <row r="7" spans="1:11" x14ac:dyDescent="0.25">
      <c r="A7" t="s">
        <v>4</v>
      </c>
      <c r="B7" s="9">
        <f>Assumptions!B7</f>
        <v>0.18296032030558435</v>
      </c>
      <c r="C7" s="9">
        <f>Assumptions!B7</f>
        <v>0.18296032030558435</v>
      </c>
      <c r="D7" s="9">
        <f>Assumptions!B7</f>
        <v>0.18296032030558435</v>
      </c>
      <c r="E7" s="9">
        <f>Assumptions!B7</f>
        <v>0.18296032030558435</v>
      </c>
      <c r="F7" s="9">
        <f>Assumptions!B7</f>
        <v>0.18296032030558435</v>
      </c>
      <c r="G7" s="9">
        <f>Assumptions!B7</f>
        <v>0.18296032030558435</v>
      </c>
      <c r="H7" s="9">
        <f>Assumptions!B7</f>
        <v>0.18296032030558435</v>
      </c>
      <c r="I7" s="9">
        <f>Assumptions!B7</f>
        <v>0.18296032030558435</v>
      </c>
      <c r="J7" s="9">
        <f>Assumptions!B7</f>
        <v>0.18296032030558435</v>
      </c>
      <c r="K7" s="9">
        <f>Assumptions!B7</f>
        <v>0.18296032030558435</v>
      </c>
    </row>
    <row r="8" spans="1:11" x14ac:dyDescent="0.25">
      <c r="A8" t="s">
        <v>51</v>
      </c>
      <c r="B8" s="18">
        <f>B6*B7</f>
        <v>1572698377.025645</v>
      </c>
      <c r="C8" s="18">
        <f>C6*C7</f>
        <v>1628325696.847467</v>
      </c>
      <c r="D8" s="18">
        <f>D6*D7</f>
        <v>1683809745.7839625</v>
      </c>
      <c r="E8" s="18">
        <f>E6*E7</f>
        <v>1739001605.2300944</v>
      </c>
      <c r="F8" s="18">
        <f>F6*F7</f>
        <v>1793748225.5571706</v>
      </c>
      <c r="G8" s="18">
        <f>G6*G7</f>
        <v>1847893073.6058939</v>
      </c>
      <c r="H8" s="18">
        <f>H6*H7</f>
        <v>1901276825.6606255</v>
      </c>
      <c r="I8" s="18">
        <f>I6*I7</f>
        <v>1953738102.1236408</v>
      </c>
      <c r="J8" s="18">
        <f>J6*J7</f>
        <v>2005114239.5959947</v>
      </c>
      <c r="K8" s="18">
        <f>K6*K7</f>
        <v>2055242095.585894</v>
      </c>
    </row>
    <row r="9" spans="1:11" x14ac:dyDescent="0.25">
      <c r="A9" t="s">
        <v>52</v>
      </c>
      <c r="B9" s="18">
        <f>B8*(1-Assumptions!B8)</f>
        <v>1354045716.513997</v>
      </c>
      <c r="C9" s="18">
        <f>C8*(1-Assumptions!B8)</f>
        <v>1401939155.7304504</v>
      </c>
      <c r="D9" s="18">
        <f>D8*(1-Assumptions!B8)</f>
        <v>1449709243.0496728</v>
      </c>
      <c r="E9" s="18">
        <f>E8*(1-Assumptions!B8)</f>
        <v>1497227764.0586503</v>
      </c>
      <c r="F9" s="18">
        <f>F8*(1-Assumptions!B8)</f>
        <v>1544362947.6579952</v>
      </c>
      <c r="G9" s="18">
        <f>G8*(1-Assumptions!B8)</f>
        <v>1590980023.5338733</v>
      </c>
      <c r="H9" s="18">
        <f>H8*(1-Assumptions!B8)</f>
        <v>1636941818.7878757</v>
      </c>
      <c r="I9" s="18">
        <f>I8*(1-Assumptions!B8)</f>
        <v>1682109390.4693236</v>
      </c>
      <c r="J9" s="18">
        <f>J8*(1-Assumptions!B8)</f>
        <v>1726342690.3135319</v>
      </c>
      <c r="K9" s="18">
        <f>K8*(1-Assumptions!B8)</f>
        <v>1769501257.57137</v>
      </c>
    </row>
    <row r="10" spans="1:11" x14ac:dyDescent="0.25">
      <c r="A10" t="s">
        <v>53</v>
      </c>
      <c r="B10" s="18">
        <f>B6*Assumptions!B9</f>
        <v>1127834798.5363102</v>
      </c>
      <c r="C10" s="18">
        <f>C6*Assumptions!B9</f>
        <v>1167727016.879546</v>
      </c>
      <c r="D10" s="18">
        <f>D6*Assumptions!B9</f>
        <v>1207516490.8615942</v>
      </c>
      <c r="E10" s="18">
        <f>E6*Assumptions!B9</f>
        <v>1247096425.9518797</v>
      </c>
      <c r="F10" s="18">
        <f>F6*Assumptions!B9</f>
        <v>1286357065.1240947</v>
      </c>
      <c r="G10" s="18">
        <f>G6*Assumptions!B9</f>
        <v>1325186153.1951985</v>
      </c>
      <c r="H10" s="18">
        <f>H6*Assumptions!B9</f>
        <v>1363469433.7805252</v>
      </c>
      <c r="I10" s="18">
        <f>I6*Assumptions!B9</f>
        <v>1401091176.1533525</v>
      </c>
      <c r="J10" s="18">
        <f>J6*Assumptions!B9</f>
        <v>1437934728.930009</v>
      </c>
      <c r="K10" s="18">
        <f>K6*Assumptions!B9</f>
        <v>1473883097.1532588</v>
      </c>
    </row>
    <row r="11" spans="1:11" x14ac:dyDescent="0.25">
      <c r="A11" t="s">
        <v>54</v>
      </c>
      <c r="B11" s="18">
        <f>-B6*B19</f>
        <v>-1127834798.5363102</v>
      </c>
      <c r="C11" s="18">
        <f>-C6*C19</f>
        <v>-1224607277.3677864</v>
      </c>
      <c r="D11" s="18">
        <f>-D6*D19</f>
        <v>-1325153321.3043694</v>
      </c>
      <c r="E11" s="18">
        <f>-E6*E19</f>
        <v>-1429335515.747848</v>
      </c>
      <c r="F11" s="18">
        <f>-F6*F19</f>
        <v>-1536992098.440942</v>
      </c>
      <c r="G11" s="18">
        <f>-G6*G19</f>
        <v>-1647936815.3772635</v>
      </c>
      <c r="H11" s="18">
        <f>-H6*H19</f>
        <v>-1761958954.5681899</v>
      </c>
      <c r="I11" s="18">
        <f>-I6*I19</f>
        <v>-1878823565.151585</v>
      </c>
      <c r="J11" s="18">
        <f>-J6*J19</f>
        <v>-1998271867.7602093</v>
      </c>
      <c r="K11" s="18">
        <f>-K6*K19</f>
        <v>-2120021860.3668337</v>
      </c>
    </row>
    <row r="12" spans="1:11" x14ac:dyDescent="0.25">
      <c r="A12" t="s">
        <v>55</v>
      </c>
      <c r="B12" s="18">
        <f>-(B6-Assumptions!B29)*Assumptions!B11</f>
        <v>-166877030.00112006</v>
      </c>
      <c r="C12" s="18">
        <f>-(C6-B6)*Assumptions!B11</f>
        <v>-139256709.12873486</v>
      </c>
      <c r="D12" s="18">
        <f>-(D6-C6)*Assumptions!B11</f>
        <v>-138898046.65733722</v>
      </c>
      <c r="E12" s="18">
        <f>-(E6-D6)*Assumptions!B11</f>
        <v>-138166583.2864544</v>
      </c>
      <c r="F12" s="18">
        <f>-(F6-E6)*Assumptions!B11</f>
        <v>-137051977.46518436</v>
      </c>
      <c r="G12" s="18">
        <f>-(G6-F6)*Assumptions!B11</f>
        <v>-135545508.5683046</v>
      </c>
      <c r="H12" s="18">
        <f>-(H6-G6)*Assumptions!B11</f>
        <v>-133640190.7533565</v>
      </c>
      <c r="I12" s="18">
        <f>-(I6-H6)*Assumptions!B11</f>
        <v>-131330877.35185793</v>
      </c>
      <c r="J12" s="18">
        <f>-(J6-I6)*Assumptions!B11</f>
        <v>-128614354.51252595</v>
      </c>
      <c r="K12" s="18">
        <f>-(K6-J6)*Assumptions!B11</f>
        <v>-125489422.88055597</v>
      </c>
    </row>
    <row r="13" spans="1:11" x14ac:dyDescent="0.25">
      <c r="A13" s="19" t="s">
        <v>56</v>
      </c>
      <c r="B13" s="20">
        <f>B9+B10+B11+B12</f>
        <v>1187168686.512877</v>
      </c>
      <c r="C13" s="20">
        <f>C9+C10+C11+C12</f>
        <v>1205802186.113475</v>
      </c>
      <c r="D13" s="20">
        <f>D9+D10+D11+D12</f>
        <v>1193174365.9495606</v>
      </c>
      <c r="E13" s="20">
        <f>E9+E10+E11+E12</f>
        <v>1176822090.9762275</v>
      </c>
      <c r="F13" s="20">
        <f>F9+F10+F11+F12</f>
        <v>1156675936.8759637</v>
      </c>
      <c r="G13" s="20">
        <f>G9+G10+G11+G12</f>
        <v>1132683852.7835035</v>
      </c>
      <c r="H13" s="20">
        <f>H9+H10+H11+H12</f>
        <v>1104812107.2468545</v>
      </c>
      <c r="I13" s="20">
        <f>I9+I10+I11+I12</f>
        <v>1073046124.1192329</v>
      </c>
      <c r="J13" s="20">
        <f>J9+J10+J11+J12</f>
        <v>1037391196.9708055</v>
      </c>
      <c r="K13" s="20">
        <f>K9+K10+K11+K12</f>
        <v>997873071.4772388</v>
      </c>
    </row>
    <row r="14" spans="1:11" x14ac:dyDescent="0.25">
      <c r="A14" t="s">
        <v>57</v>
      </c>
      <c r="B14" s="21">
        <f>1/(1+Assumptions!$B$26)^(1-0.5*Assumptions!$B$32)</f>
        <v>0.9674309176932235</v>
      </c>
      <c r="C14" s="21">
        <f>1/(1+Assumptions!$B$26)^(2-0.5*Assumptions!$B$32)</f>
        <v>0.9054404409513924</v>
      </c>
      <c r="D14" s="21">
        <f>1/(1+Assumptions!$B$26)^(3-0.5*Assumptions!$B$32)</f>
        <v>0.8474221539922102</v>
      </c>
      <c r="E14" s="21">
        <f>1/(1+Assumptions!$B$26)^(4-0.5*Assumptions!$B$32)</f>
        <v>0.7931215291446748</v>
      </c>
      <c r="F14" s="21">
        <f>1/(1+Assumptions!$B$26)^(5-0.5*Assumptions!$B$32)</f>
        <v>0.7423003482141319</v>
      </c>
      <c r="G14" s="21">
        <f>1/(1+Assumptions!$B$26)^(6-0.5*Assumptions!$B$32)</f>
        <v>0.6947356574131162</v>
      </c>
      <c r="H14" s="21">
        <f>1/(1+Assumptions!$B$26)^(7-0.5*Assumptions!$B$32)</f>
        <v>0.6502187892575283</v>
      </c>
      <c r="I14" s="21">
        <f>1/(1+Assumptions!$B$26)^(8-0.5*Assumptions!$B$32)</f>
        <v>0.6085544471371828</v>
      </c>
      <c r="J14" s="21">
        <f>1/(1+Assumptions!$B$26)^(9-0.5*Assumptions!$B$32)</f>
        <v>0.5695598485447094</v>
      </c>
      <c r="K14" s="21">
        <f>1/(1+Assumptions!$B$26)^(10-0.5*Assumptions!$B$32)</f>
        <v>0.5330639232041388</v>
      </c>
    </row>
    <row r="15" spans="1:11" x14ac:dyDescent="0.25">
      <c r="A15" s="19" t="s">
        <v>58</v>
      </c>
      <c r="B15" s="20">
        <f>B13*B14</f>
        <v>1148503691.8498113</v>
      </c>
      <c r="C15" s="20">
        <f>C13*C14</f>
        <v>1091782063.0947378</v>
      </c>
      <c r="D15" s="20">
        <f>D13*D14</f>
        <v>1011122391.2812663</v>
      </c>
      <c r="E15" s="20">
        <f>E13*E14</f>
        <v>933362936.3262992</v>
      </c>
      <c r="F15" s="20">
        <f>F13*F14</f>
        <v>858600950.7139351</v>
      </c>
      <c r="G15" s="20">
        <f>G13*G14</f>
        <v>786915861.1047686</v>
      </c>
      <c r="H15" s="20">
        <f>H13*H14</f>
        <v>718369590.7311083</v>
      </c>
      <c r="I15" s="20">
        <f>I13*I14</f>
        <v>653006990.8160765</v>
      </c>
      <c r="J15" s="20">
        <f>J13*J14</f>
        <v>590856373.0283068</v>
      </c>
      <c r="K15" s="20">
        <f>K13*K14</f>
        <v>531930134.3414209</v>
      </c>
    </row>
    <row r="17" spans="1:2" x14ac:dyDescent="0.25">
      <c r="A17" s="22" t="s">
        <v>59</v>
      </c>
      <c r="B17" s="23">
        <f>SUM(B15:K15)</f>
        <v>8324450983.287731</v>
      </c>
    </row>
    <row r="19" spans="1:11" x14ac:dyDescent="0.25">
      <c r="A19" t="s">
        <v>7</v>
      </c>
      <c r="B19" s="9">
        <f>Assumptions!$B$10+($B$20-Assumptions!$B$10)*0/9</f>
        <v>0.13120698730690095</v>
      </c>
      <c r="C19" s="9">
        <f>Assumptions!$B$10+($B$20-Assumptions!$B$10)*1/9</f>
        <v>0.13759811083835524</v>
      </c>
      <c r="D19" s="9">
        <f>Assumptions!$B$10+($B$20-Assumptions!$B$10)*2/9</f>
        <v>0.1439892343698095</v>
      </c>
      <c r="E19" s="9">
        <f>Assumptions!$B$10+($B$20-Assumptions!$B$10)*3/9</f>
        <v>0.1503803579012638</v>
      </c>
      <c r="F19" s="9">
        <f>Assumptions!$B$10+($B$20-Assumptions!$B$10)*4/9</f>
        <v>0.15677148143271807</v>
      </c>
      <c r="G19" s="9">
        <f>Assumptions!$B$10+($B$20-Assumptions!$B$10)*5/9</f>
        <v>0.16316260496417237</v>
      </c>
      <c r="H19" s="9">
        <f>Assumptions!$B$10+($B$20-Assumptions!$B$10)*6/9</f>
        <v>0.16955372849562664</v>
      </c>
      <c r="I19" s="9">
        <f>Assumptions!$B$10+($B$20-Assumptions!$B$10)*7/9</f>
        <v>0.17594485202708093</v>
      </c>
      <c r="J19" s="9">
        <f>Assumptions!$B$10+($B$20-Assumptions!$B$10)*8/9</f>
        <v>0.1823359755585352</v>
      </c>
      <c r="K19" s="9">
        <f>Assumptions!$B$10+($B$20-Assumptions!$B$10)*9/9</f>
        <v>0.1887270990899895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0.1887270990899895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997873071.4772388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1769501257.57137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0.3651530398460393</v>
      </c>
    </row>
    <row r="7" spans="1:2" x14ac:dyDescent="0.25">
      <c r="A7" t="s">
        <v>66</v>
      </c>
      <c r="B7" s="18">
        <f>-MAX(B5,0)*B6</f>
        <v>-646138763.2135751</v>
      </c>
    </row>
    <row r="8" spans="1:2" x14ac:dyDescent="0.25">
      <c r="A8" t="s">
        <v>67</v>
      </c>
      <c r="B8" s="18">
        <f>IF(OR(Assumptions!$B$33=0,Assumptions!B12&lt;=0),B5,MAX(B5+B7,0))</f>
        <v>1123362494.3577948</v>
      </c>
    </row>
    <row r="9" spans="1:2" x14ac:dyDescent="0.25">
      <c r="A9" t="s">
        <v>68</v>
      </c>
      <c r="B9" s="18">
        <f>B8*(1+Assumptions!B12)/(Assumptions!B26-Assumptions!B12)</f>
        <v>26491689291.75657</v>
      </c>
    </row>
    <row r="10" spans="1:2" x14ac:dyDescent="0.25">
      <c r="A10" t="s">
        <v>69</v>
      </c>
      <c r="B10" s="18">
        <f>B9/(1+Assumptions!B26)^(10-0.5*Assumptions!B32)</f>
        <v>14121763826.168829</v>
      </c>
    </row>
    <row r="11" spans="1:2" x14ac:dyDescent="0.25">
      <c r="A11" t="s">
        <v>70</v>
      </c>
      <c r="B11" s="18">
        <f>Forecast!B17+B10</f>
        <v>22446214809.45656</v>
      </c>
    </row>
    <row r="12" spans="1:2" x14ac:dyDescent="0.25">
      <c r="A12" t="s">
        <v>71</v>
      </c>
      <c r="B12" s="18">
        <f>-Assumptions!B30</f>
        <v>-6927200000</v>
      </c>
    </row>
    <row r="13" spans="1:2" x14ac:dyDescent="0.25">
      <c r="A13" t="s">
        <v>72</v>
      </c>
      <c r="B13" s="18">
        <f>B11+B12</f>
        <v>15519014809.456558</v>
      </c>
    </row>
    <row r="14" spans="1:2" x14ac:dyDescent="0.25">
      <c r="A14" s="19" t="s">
        <v>73</v>
      </c>
      <c r="B14" s="24">
        <f>B13/Assumptions!B31</f>
        <v>78.10274186943411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3529125192.739153</v>
      </c>
    </row>
    <row r="18" spans="1:2" x14ac:dyDescent="0.25">
      <c r="A18" t="s">
        <v>68</v>
      </c>
      <c r="B18" s="18">
        <f>B17*Assumptions!B13</f>
        <v>35947706042.903435</v>
      </c>
    </row>
    <row r="19" spans="1:2" x14ac:dyDescent="0.25">
      <c r="A19" t="s">
        <v>69</v>
      </c>
      <c r="B19" s="18">
        <f>B18/(1+Assumptions!B26)^(10-0.5*Assumptions!B32)</f>
        <v>19162425213.41923</v>
      </c>
    </row>
    <row r="20" spans="1:2" x14ac:dyDescent="0.25">
      <c r="A20" t="s">
        <v>70</v>
      </c>
      <c r="B20" s="18">
        <f>Forecast!B17+B19</f>
        <v>27486876196.706963</v>
      </c>
    </row>
    <row r="21" spans="1:2" x14ac:dyDescent="0.25">
      <c r="A21" t="s">
        <v>71</v>
      </c>
      <c r="B21" s="18">
        <f>-Assumptions!B30</f>
        <v>-6927200000</v>
      </c>
    </row>
    <row r="22" spans="1:2" x14ac:dyDescent="0.25">
      <c r="A22" t="s">
        <v>72</v>
      </c>
      <c r="B22" s="18">
        <f>B20+B21</f>
        <v>20559676196.706963</v>
      </c>
    </row>
    <row r="23" spans="1:2" x14ac:dyDescent="0.25">
      <c r="A23" s="19" t="s">
        <v>73</v>
      </c>
      <c r="B23" s="25">
        <f>B22/Assumptions!B31</f>
        <v>103.47094210723182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94.52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78.10274186943411</v>
      </c>
    </row>
    <row r="29" spans="1:2" x14ac:dyDescent="0.25">
      <c r="A29" s="19" t="s">
        <v>81</v>
      </c>
      <c r="B29" s="11">
        <f>B28/B26-1</f>
        <v>-0.17369083929925822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0.048464</v>
      </c>
      <c r="B5" s="31">
        <v>145.89069253384307</v>
      </c>
      <c r="C5" s="31">
        <v>151.25572671840197</v>
      </c>
      <c r="D5" s="31">
        <v>159.72788118624945</v>
      </c>
      <c r="E5" s="31">
        <v>173.83135460773494</v>
      </c>
      <c r="F5" s="31">
        <v>199.83989804528923</v>
      </c>
    </row>
    <row r="6" spans="1:6" x14ac:dyDescent="0.25">
      <c r="A6" s="30">
        <v>0.058464</v>
      </c>
      <c r="B6" s="31">
        <v>104.8271513182924</v>
      </c>
      <c r="C6" s="31">
        <v>104.24148457846607</v>
      </c>
      <c r="D6" s="31">
        <v>104.0239543391566</v>
      </c>
      <c r="E6" s="31">
        <v>104.36856170729757</v>
      </c>
      <c r="F6" s="31">
        <v>105.63466843330464</v>
      </c>
    </row>
    <row r="7" spans="1:6" x14ac:dyDescent="0.25">
      <c r="A7" s="30">
        <v>0.068464</v>
      </c>
      <c r="B7" s="31">
        <v>81.27408841423023</v>
      </c>
      <c r="C7" s="31">
        <v>79.68879238783221</v>
      </c>
      <c r="D7" s="32">
        <v>78.10349636143414</v>
      </c>
      <c r="E7" s="31">
        <v>76.51820033503608</v>
      </c>
      <c r="F7" s="31">
        <v>74.93290430863806</v>
      </c>
    </row>
    <row r="8" spans="1:6" x14ac:dyDescent="0.25">
      <c r="A8" s="30">
        <v>0.078464</v>
      </c>
      <c r="B8" s="31">
        <v>65.93348779466349</v>
      </c>
      <c r="C8" s="31">
        <v>64.62543269013355</v>
      </c>
      <c r="D8" s="31">
        <v>63.31737758560361</v>
      </c>
      <c r="E8" s="31">
        <v>62.009322481073646</v>
      </c>
      <c r="F8" s="31">
        <v>60.701267376543726</v>
      </c>
    </row>
    <row r="9" spans="1:6" x14ac:dyDescent="0.25">
      <c r="A9" s="30">
        <v>0.088464</v>
      </c>
      <c r="B9" s="31">
        <v>54.115942161304034</v>
      </c>
      <c r="C9" s="31">
        <v>53.01787439652178</v>
      </c>
      <c r="D9" s="31">
        <v>51.91980663173954</v>
      </c>
      <c r="E9" s="31">
        <v>50.82173886695728</v>
      </c>
      <c r="F9" s="31">
        <v>49.72367110217502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8231500000</v>
      </c>
      <c r="C5" s="18">
        <v>7678600000</v>
      </c>
      <c r="D5" s="18">
        <v>7394200000</v>
      </c>
      <c r="E5" s="18">
        <v>6939900000</v>
      </c>
      <c r="F5" s="6" t="s">
        <v>91</v>
      </c>
    </row>
    <row r="6" spans="1:6" x14ac:dyDescent="0.25">
      <c r="A6" t="s">
        <v>51</v>
      </c>
      <c r="B6" s="18">
        <v>1356200000</v>
      </c>
      <c r="C6" s="18">
        <v>1528300000</v>
      </c>
      <c r="D6" s="18">
        <v>1451300000</v>
      </c>
      <c r="E6" s="18">
        <v>1192100000</v>
      </c>
      <c r="F6" s="6" t="s">
        <v>92</v>
      </c>
    </row>
    <row r="7" spans="1:6" x14ac:dyDescent="0.25">
      <c r="A7" t="s">
        <v>93</v>
      </c>
      <c r="B7" s="18">
        <v>1093800000</v>
      </c>
      <c r="C7" s="18">
        <v>996300000</v>
      </c>
      <c r="D7" s="18">
        <v>951700000</v>
      </c>
      <c r="E7" s="18">
        <v>926400000</v>
      </c>
      <c r="F7" s="6" t="s">
        <v>94</v>
      </c>
    </row>
    <row r="8" spans="1:6" x14ac:dyDescent="0.25">
      <c r="A8" t="s">
        <v>95</v>
      </c>
      <c r="B8" s="18">
        <v>276900000</v>
      </c>
      <c r="C8" s="18">
        <v>356800000</v>
      </c>
      <c r="D8" s="18">
        <v>394500000</v>
      </c>
      <c r="E8" s="18">
        <v>217600000</v>
      </c>
      <c r="F8" s="6" t="s">
        <v>96</v>
      </c>
    </row>
    <row r="9" spans="1:6" x14ac:dyDescent="0.25">
      <c r="A9" t="s">
        <v>97</v>
      </c>
      <c r="B9" s="18">
        <v>104900000</v>
      </c>
      <c r="C9" s="18">
        <v>455400000</v>
      </c>
      <c r="D9" s="18">
        <v>398700000</v>
      </c>
      <c r="E9" s="18">
        <v>311400000</v>
      </c>
      <c r="F9" s="6" t="s">
        <v>98</v>
      </c>
    </row>
    <row r="10" spans="1:6" x14ac:dyDescent="0.25">
      <c r="A10" t="s">
        <v>99</v>
      </c>
      <c r="B10" s="18">
        <v>7519100000</v>
      </c>
      <c r="C10" s="18">
        <v>6204600000</v>
      </c>
      <c r="D10" s="18">
        <v>5767900000</v>
      </c>
      <c r="E10" s="18">
        <v>5696500000</v>
      </c>
      <c r="F10" s="6" t="s">
        <v>100</v>
      </c>
    </row>
    <row r="11" spans="1:6" x14ac:dyDescent="0.25">
      <c r="A11" t="s">
        <v>101</v>
      </c>
      <c r="B11" s="18">
        <v>591900000</v>
      </c>
      <c r="C11" s="18">
        <v>525500000</v>
      </c>
      <c r="D11" s="18">
        <v>415800000</v>
      </c>
      <c r="E11" s="18">
        <v>375700000</v>
      </c>
      <c r="F11" s="6" t="s">
        <v>102</v>
      </c>
    </row>
    <row r="12" spans="1:6" x14ac:dyDescent="0.25">
      <c r="A12" t="s">
        <v>34</v>
      </c>
      <c r="B12" s="34">
        <v>198700000</v>
      </c>
      <c r="C12" s="34">
        <v>203900000</v>
      </c>
      <c r="D12" s="34">
        <v>209700000</v>
      </c>
      <c r="E12" s="34">
        <v>210300000</v>
      </c>
      <c r="F12" s="6" t="s">
        <v>103</v>
      </c>
    </row>
    <row r="15" spans="1:1" x14ac:dyDescent="0.25">
      <c r="A15" s="19" t="s">
        <v>104</v>
      </c>
    </row>
    <row r="16" ht="70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