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<sst xmlns="http://schemas.openxmlformats.org/spreadsheetml/2006/main" count="112" uniqueCount="100">
  <si>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Zimmer Biomet Holdings, Inc. (ZBH)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</si>
  <si>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</si>
  <si>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</si>
  <si>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</si>
  <si>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</si>
  <si>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</si>
  <si>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</si>
  <si>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</si>
  <si>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</si>
  <si>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</si>
  <si>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</si>
  <si>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</si>
  <si>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</si>
  <si>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</si>
  <si>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</si>
  <si>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</si>
  <si>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</si>
  <si>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</si>
  <si>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</si>
  <si>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</si>
  <si>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</si>
  <si>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</si>
  <si>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</si>
  <si>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</si>
  <si>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</si>
  <si>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</si>
  <si>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</si>
  <si>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</si>
  <si>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</si>
  <si>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</si>
  <si>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</si>
  <si>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</si>
  <si>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</si>
  <si>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</si>
  <si>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</si>
  <si>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</si>
  <si>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</si>
  <si>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</si>
  <si>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</si>
  <si>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</si>
  <si>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</si>
  <si>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</si>
  <si>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</si>
  <si>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</si>
  <si>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</si>
  <si>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</si>
  <si>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</si>
  <si>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</si>
  <si>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</si>
  <si>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</si>
  <si>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</si>
  <si>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</si>
  <si>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</si>
  <si>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</si>
  <si>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</si>
  <si>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</si>
  <si>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</si>
  <si>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</si>
  <si>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</si>
  <si>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</si>
  <si>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</si>
  <si>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</si>
  <si>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</si>
  <si>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</si>
  <si>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</si>
  <si>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</si>
  <si>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</si>
  <si>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</si>
  <si>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</si>
  <si>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</si>
  <si>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</si>
  <si>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</si>
  <si>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</si>
  <si>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</si>
  <si>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</si>
  <si>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</si>
  <si>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</si>
  <si>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</si>
  <si>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</si>
  <si>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</si>
  <si>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</si>
  <si>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</si>
  <si>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</si>
  <si>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</si>
  <si>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</si>
  <si>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</si>
  <si>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</si>
  <si>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</si>
  <si>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</si>
  <si>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</si>
  <si>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</si>
  <si>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</si>
  <si>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</si>
  <si>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</si>
  <si>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</si>
  <si>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</si>
  <si>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</si>
  <si>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</si>
  <si>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4.12% of revenue against depreciation and amortisation of 13.12%. A business cannot depreciate more than it invests indefinitely. Capex has been set to 13.12%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</si>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</sst>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0.058543208193682306</v>
      </c>
    </row>
    <row r="7" spans="1:2" x14ac:dyDescent="0.25">
      <c r="A7" t="s">
        <v>5</v>
      </c>
      <c r="B7" s="6">
        <v>0.18296032030558435</v>
      </c>
    </row>
    <row r="8" spans="1:2" x14ac:dyDescent="0.25">
      <c r="A8" t="s">
        <v>6</v>
      </c>
      <c r="B8" s="6">
        <v>0.13903025761695836</v>
      </c>
    </row>
    <row r="9" spans="1:2" x14ac:dyDescent="0.25">
      <c r="A9" t="s">
        <v>7</v>
      </c>
      <c r="B9" s="6">
        <v>0.13120698730690095</v>
      </c>
    </row>
    <row r="10" spans="1:2" x14ac:dyDescent="0.25">
      <c r="A10" t="s">
        <v>8</v>
      </c>
      <c r="B10" s="6">
        <v>0.13120698730690095</v>
      </c>
    </row>
    <row r="11" spans="1:2" x14ac:dyDescent="0.25">
      <c r="A11" t="s">
        <v>9</v>
      </c>
      <c r="B11" s="6">
        <v>0.8776139115122166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10.25140683755102</v>
      </c>
    </row>
    <row r="14" spans="1:3" x14ac:dyDescent="0.25">
      <c r="A14" t="s">
        <v>12</v>
      </c>
      <c r="B14" s="6">
        <v>0.07306897361610087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0.64557</v>
      </c>
      <c r="C19" s="8" t="s">
        <v>19</v>
      </c>
    </row>
    <row r="20" spans="1:2" x14ac:dyDescent="0.25">
      <c r="A20" t="s">
        <v>20</v>
      </c>
      <c r="B20" s="10">
        <f>B17+B19*B18</f>
        <v>0.08548635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18188746752</v>
      </c>
    </row>
    <row r="23" spans="1:2" x14ac:dyDescent="0.25">
      <c r="A23" t="s">
        <v>24</v>
      </c>
      <c r="B23" s="11">
        <v>7519100000</v>
      </c>
    </row>
    <row r="24" spans="1:2" x14ac:dyDescent="0.25">
      <c r="A24" t="s">
        <v>25</v>
      </c>
      <c r="B24" s="10">
        <f>B22/(B22+B23)</f>
        <v>0.7075173166957269</v>
      </c>
    </row>
    <row r="25" spans="1:2" x14ac:dyDescent="0.25">
      <c r="A25" t="s">
        <v>26</v>
      </c>
      <c r="B25" s="10">
        <f>1-B24</f>
        <v>0.2924826833042731</v>
      </c>
    </row>
    <row r="26" spans="1:2" x14ac:dyDescent="0.25">
      <c r="A26" t="s">
        <v>27</v>
      </c>
      <c r="B26" s="12">
        <f>B24*B20+B25*B21*(1-B8)</f>
        <v>0.07306897361610087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8231500000</v>
      </c>
      <c r="C29" s="8" t="s">
        <v>30</v>
      </c>
    </row>
    <row r="30" spans="1:2" x14ac:dyDescent="0.25">
      <c r="A30" t="s">
        <v>31</v>
      </c>
      <c r="B30" s="11">
        <v>6927200000</v>
      </c>
    </row>
    <row r="31" spans="1:2" x14ac:dyDescent="0.25">
      <c r="A31" t="s">
        <v>32</v>
      </c>
      <c r="B31" s="13">
        <v>198700000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0.058543208193682306</v>
      </c>
      <c r="C5" s="10">
        <f>Assumptions!B6</f>
        <v>0.058543208193682306</v>
      </c>
      <c r="D5" s="10">
        <f>Assumptions!B6</f>
        <v>0.058543208193682306</v>
      </c>
      <c r="E5" s="10">
        <f>Assumptions!B6</f>
        <v>0.058543208193682306</v>
      </c>
      <c r="F5" s="10">
        <f>Assumptions!B6</f>
        <v>0.058543208193682306</v>
      </c>
    </row>
    <row r="6" spans="1:6" x14ac:dyDescent="0.25">
      <c r="A6" t="s">
        <v>43</v>
      </c>
      <c r="B6" s="18">
        <f>Assumptions!B29*(1+B5)</f>
        <v>8713398418.246296</v>
      </c>
      <c r="C6" s="18">
        <f>B6*(1+C5)</f>
        <v>9223508715.92019</v>
      </c>
      <c r="D6" s="18">
        <f>C6*(1+D5)</f>
        <v>9763482506.952549</v>
      </c>
      <c r="E6" s="18">
        <f>D6*(1+E5)</f>
        <v>10335068096.052446</v>
      </c>
      <c r="F6" s="18">
        <f>E6*(1+F5)</f>
        <v>10940116139.295528</v>
      </c>
    </row>
    <row r="7" spans="1:6" x14ac:dyDescent="0.25">
      <c r="A7" t="s">
        <v>5</v>
      </c>
      <c r="B7" s="10">
        <f>Assumptions!B7</f>
        <v>0.18296032030558435</v>
      </c>
      <c r="C7" s="10">
        <f>Assumptions!B7</f>
        <v>0.18296032030558435</v>
      </c>
      <c r="D7" s="10">
        <f>Assumptions!B7</f>
        <v>0.18296032030558435</v>
      </c>
      <c r="E7" s="10">
        <f>Assumptions!B7</f>
        <v>0.18296032030558435</v>
      </c>
      <c r="F7" s="10">
        <f>Assumptions!B7</f>
        <v>0.18296032030558435</v>
      </c>
    </row>
    <row r="8" spans="1:6" x14ac:dyDescent="0.25">
      <c r="A8" t="s">
        <v>44</v>
      </c>
      <c r="B8" s="18">
        <f>B6*B7</f>
        <v>1594206165.5525143</v>
      </c>
      <c r="C8" s="18">
        <f>C6*C7</f>
        <v>1687536109.006107</v>
      </c>
      <c r="D8" s="18">
        <f>D6*D7</f>
        <v>1786329886.770008</v>
      </c>
      <c r="E8" s="18">
        <f>E6*E7</f>
        <v>1890907369.2337813</v>
      </c>
      <c r="F8" s="18">
        <f>F6*F7</f>
        <v>2001607153.0258026</v>
      </c>
    </row>
    <row r="9" spans="1:6" x14ac:dyDescent="0.25">
      <c r="A9" t="s">
        <v>45</v>
      </c>
      <c r="B9" s="18">
        <f>B8*(1-Assumptions!B8)</f>
        <v>1372563271.6612048</v>
      </c>
      <c r="C9" s="18">
        <f>C8*(1-Assumptions!B8)</f>
        <v>1452917529.0330684</v>
      </c>
      <c r="D9" s="18">
        <f>D8*(1-Assumptions!B8)</f>
        <v>1537975982.4235017</v>
      </c>
      <c r="E9" s="18">
        <f>E8*(1-Assumptions!B8)</f>
        <v>1628014030.5594037</v>
      </c>
      <c r="F9" s="18">
        <f>F8*(1-Assumptions!B8)</f>
        <v>1723323194.8926785</v>
      </c>
    </row>
    <row r="10" spans="1:6" x14ac:dyDescent="0.25">
      <c r="A10" t="s">
        <v>46</v>
      </c>
      <c r="B10" s="18">
        <f>B6*Assumptions!B9</f>
        <v>1143258755.6628125</v>
      </c>
      <c r="C10" s="18">
        <f>C6*Assumptions!B9</f>
        <v>1210188791.0148308</v>
      </c>
      <c r="D10" s="18">
        <f>D6*Assumptions!B9</f>
        <v>1281037125.3608725</v>
      </c>
      <c r="E10" s="18">
        <f>E6*Assumptions!B9</f>
        <v>1356033148.4947102</v>
      </c>
      <c r="F10" s="18">
        <f>F6*Assumptions!B9</f>
        <v>1435419679.4245706</v>
      </c>
    </row>
    <row r="11" spans="1:6" x14ac:dyDescent="0.25">
      <c r="A11" t="s">
        <v>47</v>
      </c>
      <c r="B11" s="18">
        <f>-B6*Assumptions!B10</f>
        <v>-1143258755.6628125</v>
      </c>
      <c r="C11" s="18">
        <f>-C6*Assumptions!B10</f>
        <v>-1210188791.0148308</v>
      </c>
      <c r="D11" s="18">
        <f>-D6*Assumptions!B10</f>
        <v>-1281037125.3608725</v>
      </c>
      <c r="E11" s="18">
        <f>-E6*Assumptions!B10</f>
        <v>-1356033148.4947102</v>
      </c>
      <c r="F11" s="18">
        <f>-F6*Assumptions!B10</f>
        <v>-1435419679.4245706</v>
      </c>
    </row>
    <row r="12" spans="1:6" x14ac:dyDescent="0.25">
      <c r="A12" t="s">
        <v>48</v>
      </c>
      <c r="B12" s="18">
        <f>-(B6-Assumptions!B29)*Assumptions!B11</f>
        <v>-422920755.78868186</v>
      </c>
      <c r="C12" s="18">
        <f>-(C6-B6)*Assumptions!B11</f>
        <v>-447679893.644248</v>
      </c>
      <c r="D12" s="18">
        <f>-(D6-C6)*Assumptions!B11</f>
        <v>-473888510.8619881</v>
      </c>
      <c r="E12" s="18">
        <f>-(E6-D6)*Assumptions!B11</f>
        <v>-501631464.6139755</v>
      </c>
      <c r="F12" s="18">
        <f>-(F6-E6)*Assumptions!B11</f>
        <v>-530998579.883374</v>
      </c>
    </row>
    <row r="13" spans="1:6" x14ac:dyDescent="0.25">
      <c r="A13" s="19" t="s">
        <v>49</v>
      </c>
      <c r="B13" s="20">
        <f>B9+B10+B11+B12</f>
        <v>949642515.8725232</v>
      </c>
      <c r="C13" s="20">
        <f>C9+C10+C11+C12</f>
        <v>1005237635.3888204</v>
      </c>
      <c r="D13" s="20">
        <f>D9+D10+D11+D12</f>
        <v>1064087471.5615137</v>
      </c>
      <c r="E13" s="20">
        <f>E9+E10+E11+E12</f>
        <v>1126382565.9454281</v>
      </c>
      <c r="F13" s="20">
        <f>F9+F10+F11+F12</f>
        <v>1192324615.0093048</v>
      </c>
    </row>
    <row r="14" spans="1:6" x14ac:dyDescent="0.25">
      <c r="A14" t="s">
        <v>50</v>
      </c>
      <c r="B14" s="21">
        <f>1/(1+Assumptions!$B$26)^(1-0.5*Assumptions!$B$32)</f>
        <v>0.9653530676564149</v>
      </c>
      <c r="C14" s="21">
        <f>1/(1+Assumptions!$B$26)^(2-0.5*Assumptions!$B$32)</f>
        <v>0.8996188422103963</v>
      </c>
      <c r="D14" s="21">
        <f>1/(1+Assumptions!$B$26)^(3-0.5*Assumptions!$B$32)</f>
        <v>0.8383606872713871</v>
      </c>
      <c r="E14" s="21">
        <f>1/(1+Assumptions!$B$26)^(4-0.5*Assumptions!$B$32)</f>
        <v>0.7812738117347876</v>
      </c>
      <c r="F14" s="21">
        <f>1/(1+Assumptions!$B$26)^(5-0.5*Assumptions!$B$32)</f>
        <v>0.7280741787752916</v>
      </c>
    </row>
    <row r="15" spans="1:6" x14ac:dyDescent="0.25">
      <c r="A15" s="19" t="s">
        <v>51</v>
      </c>
      <c r="B15" s="20">
        <f>B13*B14</f>
        <v>916740315.874496</v>
      </c>
      <c r="C15" s="20">
        <f>C13*C14</f>
        <v>904330717.6948072</v>
      </c>
      <c r="D15" s="20">
        <f>D13*D14</f>
        <v>892089103.9751832</v>
      </c>
      <c r="E15" s="20">
        <f>E13*E14</f>
        <v>880013200.7677954</v>
      </c>
      <c r="F15" s="20">
        <f>F13*F14</f>
        <v>868100764.9064653</v>
      </c>
    </row>
    <row r="17" spans="1:2" x14ac:dyDescent="0.25">
      <c r="A17" s="22" t="s">
        <v>52</v>
      </c>
      <c r="B17" s="23">
        <f>SUM(B15:F15)</f>
        <v>4461274103.218747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1192324615.0093048</v>
      </c>
    </row>
    <row r="5" spans="1:2" x14ac:dyDescent="0.25">
      <c r="A5" t="s">
        <v>56</v>
      </c>
      <c r="B5" s="18">
        <f>IF(Assumptions!$B$33=0,B4,B4-Forecast!F11-Forecast!F10-Forecast!F12)</f>
        <v>1723323194.8926785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0.3421424821340478</v>
      </c>
    </row>
    <row r="7" spans="1:2" x14ac:dyDescent="0.25">
      <c r="A7" t="s">
        <v>58</v>
      </c>
      <c r="B7" s="18">
        <f>-MAX(Forecast!F9,0)*B6</f>
        <v>-589622075.4197584</v>
      </c>
    </row>
    <row r="8" spans="1:2" x14ac:dyDescent="0.25">
      <c r="A8" t="s">
        <v>59</v>
      </c>
      <c r="B8" s="18">
        <f>IF(OR(Assumptions!$B$33=0,Assumptions!B12&lt;=0),B5,MAX(B5+B7,0))</f>
        <v>1133701119.47292</v>
      </c>
    </row>
    <row r="9" spans="1:2" x14ac:dyDescent="0.25">
      <c r="A9" t="s">
        <v>60</v>
      </c>
      <c r="B9" s="18">
        <f>B8*(1+Assumptions!B12)/(Assumptions!B26-Assumptions!B12)</f>
        <v>24174505092.210087</v>
      </c>
    </row>
    <row r="10" spans="1:2" x14ac:dyDescent="0.25">
      <c r="A10" t="s">
        <v>61</v>
      </c>
      <c r="B10" s="18">
        <f>B9/(1+Assumptions!B26)^(5-0.5*Assumptions!B32)</f>
        <v>17600832942.309963</v>
      </c>
    </row>
    <row r="11" spans="1:2" x14ac:dyDescent="0.25">
      <c r="A11" t="s">
        <v>62</v>
      </c>
      <c r="B11" s="18">
        <f>Forecast!B17+B10</f>
        <v>22062107045.52871</v>
      </c>
    </row>
    <row r="12" spans="1:2" x14ac:dyDescent="0.25">
      <c r="A12" t="s">
        <v>63</v>
      </c>
      <c r="B12" s="18">
        <f>-Assumptions!B30</f>
        <v>-6927200000</v>
      </c>
    </row>
    <row r="13" spans="1:2" x14ac:dyDescent="0.25">
      <c r="A13" t="s">
        <v>64</v>
      </c>
      <c r="B13" s="18">
        <f>B11+B12</f>
        <v>15134907045.52871</v>
      </c>
    </row>
    <row r="14" spans="1:2" x14ac:dyDescent="0.25">
      <c r="A14" s="19" t="s">
        <v>65</v>
      </c>
      <c r="B14" s="24">
        <f>B13/Assumptions!B31</f>
        <v>76.1696378738234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3437026832.450373</v>
      </c>
    </row>
    <row r="18" spans="1:2" x14ac:dyDescent="0.25">
      <c r="A18" t="s">
        <v>60</v>
      </c>
      <c r="B18" s="18">
        <f>B17*Assumptions!B13</f>
        <v>35234360371.028076</v>
      </c>
    </row>
    <row r="19" spans="1:2" x14ac:dyDescent="0.25">
      <c r="A19" t="s">
        <v>61</v>
      </c>
      <c r="B19" s="18">
        <f>B18/(1+Assumptions!B26)^(5-0.5*Assumptions!B32)</f>
        <v>25653227991.808945</v>
      </c>
    </row>
    <row r="20" spans="1:2" x14ac:dyDescent="0.25">
      <c r="A20" t="s">
        <v>62</v>
      </c>
      <c r="B20" s="18">
        <f>Forecast!B17+B19</f>
        <v>30114502095.02769</v>
      </c>
    </row>
    <row r="21" spans="1:2" x14ac:dyDescent="0.25">
      <c r="A21" t="s">
        <v>63</v>
      </c>
      <c r="B21" s="18">
        <f>-Assumptions!B30</f>
        <v>-6927200000</v>
      </c>
    </row>
    <row r="22" spans="1:2" x14ac:dyDescent="0.25">
      <c r="A22" t="s">
        <v>64</v>
      </c>
      <c r="B22" s="18">
        <f>B20+B21</f>
        <v>23187302095.02769</v>
      </c>
    </row>
    <row r="23" spans="1:2" x14ac:dyDescent="0.25">
      <c r="A23" s="19" t="s">
        <v>65</v>
      </c>
      <c r="B23" s="25">
        <f>B22/Assumptions!B31</f>
        <v>116.69502815816654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95.36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76.1696378738234</v>
      </c>
    </row>
    <row r="29" spans="1:2" x14ac:dyDescent="0.25">
      <c r="A29" s="19" t="s">
        <v>73</v>
      </c>
      <c r="B29" s="12">
        <f>B28/B26-1</f>
        <v>-0.20124121357148272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0.053069</v>
      </c>
      <c r="B5" s="31">
        <v>128.41430987394205</v>
      </c>
      <c r="C5" s="31">
        <v>133.5665826165132</v>
      </c>
      <c r="D5" s="31">
        <v>140.36073237799013</v>
      </c>
      <c r="E5" s="31">
        <v>149.86434575872772</v>
      </c>
      <c r="F5" s="31">
        <v>164.32668692879128</v>
      </c>
    </row>
    <row r="6" spans="1:6" x14ac:dyDescent="0.25">
      <c r="A6" s="30">
        <v>0.063069</v>
      </c>
      <c r="B6" s="31">
        <v>94.18410020449362</v>
      </c>
      <c r="C6" s="31">
        <v>94.74083031958536</v>
      </c>
      <c r="D6" s="31">
        <v>95.30693303289827</v>
      </c>
      <c r="E6" s="31">
        <v>95.88665972709663</v>
      </c>
      <c r="F6" s="31">
        <v>96.48729102184178</v>
      </c>
    </row>
    <row r="7" spans="1:6" x14ac:dyDescent="0.25">
      <c r="A7" s="30">
        <v>0.073069</v>
      </c>
      <c r="B7" s="31">
        <v>75.30540065024131</v>
      </c>
      <c r="C7" s="31">
        <v>75.73749768682201</v>
      </c>
      <c r="D7" s="32">
        <v>76.16959472340264</v>
      </c>
      <c r="E7" s="31">
        <v>76.60169175998332</v>
      </c>
      <c r="F7" s="31">
        <v>77.03378879656398</v>
      </c>
    </row>
    <row r="8" spans="1:6" x14ac:dyDescent="0.25">
      <c r="A8" s="30">
        <v>0.083069</v>
      </c>
      <c r="B8" s="31">
        <v>61.08444703384434</v>
      </c>
      <c r="C8" s="31">
        <v>61.448988825397464</v>
      </c>
      <c r="D8" s="31">
        <v>61.813530616950544</v>
      </c>
      <c r="E8" s="31">
        <v>62.17807240850367</v>
      </c>
      <c r="F8" s="31">
        <v>62.542614200056796</v>
      </c>
    </row>
    <row r="9" spans="1:6" x14ac:dyDescent="0.25">
      <c r="A9" s="30">
        <v>0.093069</v>
      </c>
      <c r="B9" s="31">
        <v>49.96950539340353</v>
      </c>
      <c r="C9" s="31">
        <v>50.281695922364975</v>
      </c>
      <c r="D9" s="31">
        <v>50.593886451326405</v>
      </c>
      <c r="E9" s="31">
        <v>50.90607698028785</v>
      </c>
      <c r="F9" s="31">
        <v>51.21826750924928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8231500000</v>
      </c>
      <c r="C5" s="18">
        <v>7678600000</v>
      </c>
      <c r="D5" s="18">
        <v>7394200000</v>
      </c>
      <c r="E5" s="18">
        <v>6939900000</v>
      </c>
      <c r="F5" s="8" t="s">
        <v>84</v>
      </c>
    </row>
    <row r="6" spans="1:6" x14ac:dyDescent="0.25">
      <c r="A6" t="s">
        <v>44</v>
      </c>
      <c r="B6" s="18">
        <v>1356200000</v>
      </c>
      <c r="C6" s="18">
        <v>1528300000</v>
      </c>
      <c r="D6" s="18">
        <v>1451300000</v>
      </c>
      <c r="E6" s="18">
        <v>1192100000</v>
      </c>
      <c r="F6" s="8" t="s">
        <v>85</v>
      </c>
    </row>
    <row r="7" spans="1:6" x14ac:dyDescent="0.25">
      <c r="A7" t="s">
        <v>86</v>
      </c>
      <c r="B7" s="18">
        <v>1093800000</v>
      </c>
      <c r="C7" s="18">
        <v>996300000</v>
      </c>
      <c r="D7" s="18">
        <v>951700000</v>
      </c>
      <c r="E7" s="18">
        <v>926400000</v>
      </c>
      <c r="F7" s="8" t="s">
        <v>87</v>
      </c>
    </row>
    <row r="8" spans="1:6" x14ac:dyDescent="0.25">
      <c r="A8" t="s">
        <v>88</v>
      </c>
      <c r="B8" s="18">
        <v>276900000</v>
      </c>
      <c r="C8" s="18">
        <v>356800000</v>
      </c>
      <c r="D8" s="18">
        <v>394500000</v>
      </c>
      <c r="E8" s="18">
        <v>217600000</v>
      </c>
      <c r="F8" s="8" t="s">
        <v>89</v>
      </c>
    </row>
    <row r="9" spans="1:6" x14ac:dyDescent="0.25">
      <c r="A9" t="s">
        <v>90</v>
      </c>
      <c r="B9" s="18">
        <v>104900000</v>
      </c>
      <c r="C9" s="18">
        <v>455400000</v>
      </c>
      <c r="D9" s="18">
        <v>398700000</v>
      </c>
      <c r="E9" s="18">
        <v>311400000</v>
      </c>
      <c r="F9" s="8" t="s">
        <v>91</v>
      </c>
    </row>
    <row r="10" spans="1:6" x14ac:dyDescent="0.25">
      <c r="A10" t="s">
        <v>92</v>
      </c>
      <c r="B10" s="18">
        <v>7519100000</v>
      </c>
      <c r="C10" s="18">
        <v>6204600000</v>
      </c>
      <c r="D10" s="18">
        <v>5767900000</v>
      </c>
      <c r="E10" s="18">
        <v>5696500000</v>
      </c>
      <c r="F10" s="8" t="s">
        <v>93</v>
      </c>
    </row>
    <row r="11" spans="1:6" x14ac:dyDescent="0.25">
      <c r="A11" t="s">
        <v>94</v>
      </c>
      <c r="B11" s="18">
        <v>591900000</v>
      </c>
      <c r="C11" s="18">
        <v>525500000</v>
      </c>
      <c r="D11" s="18">
        <v>415800000</v>
      </c>
      <c r="E11" s="18">
        <v>375700000</v>
      </c>
      <c r="F11" s="8" t="s">
        <v>95</v>
      </c>
    </row>
    <row r="12" spans="1:6" x14ac:dyDescent="0.25">
      <c r="A12" t="s">
        <v>32</v>
      </c>
      <c r="B12" s="34">
        <v>198700000</v>
      </c>
      <c r="C12" s="34">
        <v>203900000</v>
      </c>
      <c r="D12" s="34">
        <v>209700000</v>
      </c>
      <c r="E12" s="34">
        <v>210300000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2026-09-19T01:05:23Z</dcterms:modified>
</cp:coreProperties>
</file>