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<sst xmlns="http://schemas.openxmlformats.org/spreadsheetml/2006/main" count="111" uniqueCount="99">
  <si>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Zebra Technologies Corporation (ZBRA)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</si>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</sst>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-0.02271104500520582</v>
      </c>
    </row>
    <row r="7" spans="1:2" x14ac:dyDescent="0.25">
      <c r="A7" t="s">
        <v>5</v>
      </c>
      <c r="B7" s="6">
        <v>0.14784227296595306</v>
      </c>
    </row>
    <row r="8" spans="1:2" x14ac:dyDescent="0.25">
      <c r="A8" t="s">
        <v>6</v>
      </c>
      <c r="B8" s="6">
        <v>0.15870049791570173</v>
      </c>
    </row>
    <row r="9" spans="1:2" x14ac:dyDescent="0.25">
      <c r="A9" t="s">
        <v>7</v>
      </c>
      <c r="B9" s="6">
        <v>0.03562457543584455</v>
      </c>
    </row>
    <row r="10" spans="1:2" x14ac:dyDescent="0.25">
      <c r="A10" t="s">
        <v>8</v>
      </c>
      <c r="B10" s="6">
        <v>0.014933833569329473</v>
      </c>
    </row>
    <row r="11" spans="1:2" x14ac:dyDescent="0.25">
      <c r="A11" t="s">
        <v>9</v>
      </c>
      <c r="B11" s="6">
        <v>-0.4302422723475355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19.26019742538071</v>
      </c>
    </row>
    <row r="14" spans="1:3" x14ac:dyDescent="0.25">
      <c r="A14" t="s">
        <v>12</v>
      </c>
      <c r="B14" s="6">
        <v>0.11530092362937258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1.4066900000000002</v>
      </c>
      <c r="C19" s="8" t="s">
        <v>19</v>
      </c>
    </row>
    <row r="20" spans="1:2" x14ac:dyDescent="0.25">
      <c r="A20" t="s">
        <v>20</v>
      </c>
      <c r="B20" s="10">
        <f>B17+B19*B18</f>
        <v>0.12734795000000002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16399294464</v>
      </c>
    </row>
    <row r="23" spans="1:2" x14ac:dyDescent="0.25">
      <c r="A23" t="s">
        <v>24</v>
      </c>
      <c r="B23" s="11">
        <v>2697000000</v>
      </c>
    </row>
    <row r="24" spans="1:2" x14ac:dyDescent="0.25">
      <c r="A24" t="s">
        <v>25</v>
      </c>
      <c r="B24" s="10">
        <f>B22/(B22+B23)</f>
        <v>0.858768411584544</v>
      </c>
    </row>
    <row r="25" spans="1:2" x14ac:dyDescent="0.25">
      <c r="A25" t="s">
        <v>26</v>
      </c>
      <c r="B25" s="10">
        <f>1-B24</f>
        <v>0.14123158841545602</v>
      </c>
    </row>
    <row r="26" spans="1:2" x14ac:dyDescent="0.25">
      <c r="A26" t="s">
        <v>27</v>
      </c>
      <c r="B26" s="12">
        <f>B24*B20+B25*B21*(1-B8)</f>
        <v>0.11530092362937258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5396000000</v>
      </c>
      <c r="C29" s="8" t="s">
        <v>30</v>
      </c>
    </row>
    <row r="30" spans="1:2" x14ac:dyDescent="0.25">
      <c r="A30" t="s">
        <v>31</v>
      </c>
      <c r="B30" s="11">
        <v>2572000000</v>
      </c>
    </row>
    <row r="31" spans="1:2" x14ac:dyDescent="0.25">
      <c r="A31" t="s">
        <v>32</v>
      </c>
      <c r="B31" s="13">
        <v>51212395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-0.02271104500520582</v>
      </c>
      <c r="C5" s="10">
        <f>Assumptions!B6</f>
        <v>-0.02271104500520582</v>
      </c>
      <c r="D5" s="10">
        <f>Assumptions!B6</f>
        <v>-0.02271104500520582</v>
      </c>
      <c r="E5" s="10">
        <f>Assumptions!B6</f>
        <v>-0.02271104500520582</v>
      </c>
      <c r="F5" s="10">
        <f>Assumptions!B6</f>
        <v>-0.02271104500520582</v>
      </c>
    </row>
    <row r="6" spans="1:6" x14ac:dyDescent="0.25">
      <c r="A6" t="s">
        <v>43</v>
      </c>
      <c r="B6" s="18">
        <f>Assumptions!B29*(1+B5)</f>
        <v>5273451201.15191</v>
      </c>
      <c r="C6" s="18">
        <f>B6*(1+C5)</f>
        <v>5153685613.589792</v>
      </c>
      <c r="D6" s="18">
        <f>C6*(1+D5)</f>
        <v>5036640027.676872</v>
      </c>
      <c r="E6" s="18">
        <f>D6*(1+E5)</f>
        <v>4922252669.3332815</v>
      </c>
      <c r="F6" s="18">
        <f>E6*(1+F5)</f>
        <v>4810463167.433059</v>
      </c>
    </row>
    <row r="7" spans="1:6" x14ac:dyDescent="0.25">
      <c r="A7" t="s">
        <v>5</v>
      </c>
      <c r="B7" s="10">
        <f>Assumptions!B7</f>
        <v>0.14784227296595306</v>
      </c>
      <c r="C7" s="10">
        <f>Assumptions!B7</f>
        <v>0.14784227296595306</v>
      </c>
      <c r="D7" s="10">
        <f>Assumptions!B7</f>
        <v>0.14784227296595306</v>
      </c>
      <c r="E7" s="10">
        <f>Assumptions!B7</f>
        <v>0.14784227296595306</v>
      </c>
      <c r="F7" s="10">
        <f>Assumptions!B7</f>
        <v>0.14784227296595306</v>
      </c>
    </row>
    <row r="8" spans="1:6" x14ac:dyDescent="0.25">
      <c r="A8" t="s">
        <v>44</v>
      </c>
      <c r="B8" s="18">
        <f>B6*B7</f>
        <v>779639011.9533337</v>
      </c>
      <c r="C8" s="18">
        <f>C6*C7</f>
        <v>761932595.2650474</v>
      </c>
      <c r="D8" s="18">
        <f>D6*D7</f>
        <v>744628309.8030496</v>
      </c>
      <c r="E8" s="18">
        <f>E6*E7</f>
        <v>727717022.7469621</v>
      </c>
      <c r="F8" s="18">
        <f>F6*F7</f>
        <v>711189808.6923014</v>
      </c>
    </row>
    <row r="9" spans="1:6" x14ac:dyDescent="0.25">
      <c r="A9" t="s">
        <v>45</v>
      </c>
      <c r="B9" s="18">
        <f>B8*(1-Assumptions!B8)</f>
        <v>655909912.561834</v>
      </c>
      <c r="C9" s="18">
        <f>C8*(1-Assumptions!B8)</f>
        <v>641013513.0182816</v>
      </c>
      <c r="D9" s="18">
        <f>D8*(1-Assumptions!B8)</f>
        <v>626455426.2751782</v>
      </c>
      <c r="E9" s="18">
        <f>E8*(1-Assumptions!B8)</f>
        <v>612227968.8952872</v>
      </c>
      <c r="F9" s="18">
        <f>F8*(1-Assumptions!B8)</f>
        <v>598323631.9402605</v>
      </c>
    </row>
    <row r="10" spans="1:6" x14ac:dyDescent="0.25">
      <c r="A10" t="s">
        <v>46</v>
      </c>
      <c r="B10" s="18">
        <f>B6*Assumptions!B9</f>
        <v>187864460.12268126</v>
      </c>
      <c r="C10" s="18">
        <f>C6*Assumptions!B9</f>
        <v>183597861.91395634</v>
      </c>
      <c r="D10" s="18">
        <f>D6*Assumptions!B9</f>
        <v>179428162.6091689</v>
      </c>
      <c r="E10" s="18">
        <f>E6*Assumptions!B9</f>
        <v>175353161.53295067</v>
      </c>
      <c r="F10" s="18">
        <f>F6*Assumptions!B9</f>
        <v>171370707.9895707</v>
      </c>
    </row>
    <row r="11" spans="1:6" x14ac:dyDescent="0.25">
      <c r="A11" t="s">
        <v>47</v>
      </c>
      <c r="B11" s="18">
        <f>-B6*Assumptions!B10</f>
        <v>-78752842.57398322</v>
      </c>
      <c r="C11" s="18">
        <f>-C6*Assumptions!B10</f>
        <v>-76964283.2219976</v>
      </c>
      <c r="D11" s="18">
        <f>-D6*Assumptions!B10</f>
        <v>-75216343.9219494</v>
      </c>
      <c r="E11" s="18">
        <f>-E6*Assumptions!B10</f>
        <v>-73508102.15001096</v>
      </c>
      <c r="F11" s="18">
        <f>-F6*Assumptions!B10</f>
        <v>-71838656.3338348</v>
      </c>
    </row>
    <row r="12" spans="1:6" x14ac:dyDescent="0.25">
      <c r="A12" t="s">
        <v>48</v>
      </c>
      <c r="B12" s="18">
        <f>-(B6-Assumptions!B29)*Assumptions!B11</f>
        <v>-52725673.689863354</v>
      </c>
      <c r="C12" s="18">
        <f>-(C6-B6)*Assumptions!B11</f>
        <v>-51528218.5417632</v>
      </c>
      <c r="D12" s="18">
        <f>-(D6-C6)*Assumptions!B11</f>
        <v>-50357958.85142339</v>
      </c>
      <c r="E12" s="18">
        <f>-(E6-D6)*Assumptions!B11</f>
        <v>-49214276.9815783</v>
      </c>
      <c r="F12" s="18">
        <f>-(F6-E6)*Assumptions!B11</f>
        <v>-48096569.32215098</v>
      </c>
    </row>
    <row r="13" spans="1:6" x14ac:dyDescent="0.25">
      <c r="A13" s="19" t="s">
        <v>49</v>
      </c>
      <c r="B13" s="20">
        <f>B9+B10+B11+B12</f>
        <v>712295856.4206687</v>
      </c>
      <c r="C13" s="20">
        <f>C9+C10+C11+C12</f>
        <v>696118873.168477</v>
      </c>
      <c r="D13" s="20">
        <f>D9+D10+D11+D12</f>
        <v>680309286.1109743</v>
      </c>
      <c r="E13" s="20">
        <f>E9+E10+E11+E12</f>
        <v>664858751.2966485</v>
      </c>
      <c r="F13" s="20">
        <f>F9+F10+F11+F12</f>
        <v>649759114.2738456</v>
      </c>
    </row>
    <row r="14" spans="1:6" x14ac:dyDescent="0.25">
      <c r="A14" t="s">
        <v>50</v>
      </c>
      <c r="B14" s="21">
        <f>1/(1+Assumptions!$B$26)^(1-0.5*Assumptions!$B$32)</f>
        <v>0.9468996784437148</v>
      </c>
      <c r="C14" s="21">
        <f>1/(1+Assumptions!$B$26)^(2-0.5*Assumptions!$B$32)</f>
        <v>0.8490082437682805</v>
      </c>
      <c r="D14" s="21">
        <f>1/(1+Assumptions!$B$26)^(3-0.5*Assumptions!$B$32)</f>
        <v>0.7612369233995326</v>
      </c>
      <c r="E14" s="21">
        <f>1/(1+Assumptions!$B$26)^(4-0.5*Assumptions!$B$32)</f>
        <v>0.682539489810824</v>
      </c>
      <c r="F14" s="21">
        <f>1/(1+Assumptions!$B$26)^(5-0.5*Assumptions!$B$32)</f>
        <v>0.6119778755223553</v>
      </c>
    </row>
    <row r="15" spans="1:6" x14ac:dyDescent="0.25">
      <c r="A15" s="19" t="s">
        <v>51</v>
      </c>
      <c r="B15" s="20">
        <f>B13*B14</f>
        <v>674472717.4015217</v>
      </c>
      <c r="C15" s="20">
        <f>C13*C14</f>
        <v>591010661.9627231</v>
      </c>
      <c r="D15" s="20">
        <f>D13*D14</f>
        <v>517876547.9192505</v>
      </c>
      <c r="E15" s="20">
        <f>E13*E14</f>
        <v>453792352.906276</v>
      </c>
      <c r="F15" s="20">
        <f>F13*F14</f>
        <v>397638202.35459524</v>
      </c>
    </row>
    <row r="17" spans="1:2" x14ac:dyDescent="0.25">
      <c r="A17" s="22" t="s">
        <v>52</v>
      </c>
      <c r="B17" s="23">
        <f>SUM(B15:F15)</f>
        <v>2634790482.544367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649759114.2738456</v>
      </c>
    </row>
    <row r="5" spans="1:2" x14ac:dyDescent="0.25">
      <c r="A5" t="s">
        <v>56</v>
      </c>
      <c r="B5" s="18">
        <f>IF(Assumptions!$B$33=0,B4,B4-Forecast!F11-Forecast!F10-Forecast!F12)</f>
        <v>687580146.674266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0.21682393525624216</v>
      </c>
    </row>
    <row r="7" spans="1:2" x14ac:dyDescent="0.25">
      <c r="A7" t="s">
        <v>58</v>
      </c>
      <c r="B7" s="18">
        <f>-MAX(Forecast!F9,0)*B6</f>
        <v>-149083833.20597854</v>
      </c>
    </row>
    <row r="8" spans="1:2" x14ac:dyDescent="0.25">
      <c r="A8" t="s">
        <v>59</v>
      </c>
      <c r="B8" s="18">
        <f>IF(OR(Assumptions!$B$33=0,Assumptions!B12&lt;=0),B5,MAX(B5+B7,0))</f>
        <v>538496313.4682875</v>
      </c>
    </row>
    <row r="9" spans="1:2" x14ac:dyDescent="0.25">
      <c r="A9" t="s">
        <v>60</v>
      </c>
      <c r="B9" s="18">
        <f>B8*(1+Assumptions!B12)/(Assumptions!B26-Assumptions!B12)</f>
        <v>6112437161.445118</v>
      </c>
    </row>
    <row r="10" spans="1:2" x14ac:dyDescent="0.25">
      <c r="A10" t="s">
        <v>61</v>
      </c>
      <c r="B10" s="18">
        <f>B9/(1+Assumptions!B26)^(5-0.5*Assumptions!B32)</f>
        <v>3740676308.325079</v>
      </c>
    </row>
    <row r="11" spans="1:2" x14ac:dyDescent="0.25">
      <c r="A11" t="s">
        <v>62</v>
      </c>
      <c r="B11" s="18">
        <f>Forecast!B17+B10</f>
        <v>6375466790.869446</v>
      </c>
    </row>
    <row r="12" spans="1:2" x14ac:dyDescent="0.25">
      <c r="A12" t="s">
        <v>63</v>
      </c>
      <c r="B12" s="18">
        <f>-Assumptions!B30</f>
        <v>-2572000000</v>
      </c>
    </row>
    <row r="13" spans="1:2" x14ac:dyDescent="0.25">
      <c r="A13" t="s">
        <v>64</v>
      </c>
      <c r="B13" s="18">
        <f>B11+B12</f>
        <v>3803466790.869446</v>
      </c>
    </row>
    <row r="14" spans="1:2" x14ac:dyDescent="0.25">
      <c r="A14" s="19" t="s">
        <v>65</v>
      </c>
      <c r="B14" s="24">
        <f>B13/Assumptions!B31</f>
        <v>74.26848111418037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882560516.6818721</v>
      </c>
    </row>
    <row r="18" spans="1:2" x14ac:dyDescent="0.25">
      <c r="A18" t="s">
        <v>60</v>
      </c>
      <c r="B18" s="18">
        <f>B17*Assumptions!B13</f>
        <v>16998289791.138863</v>
      </c>
    </row>
    <row r="19" spans="1:2" x14ac:dyDescent="0.25">
      <c r="A19" t="s">
        <v>61</v>
      </c>
      <c r="B19" s="18">
        <f>B18/(1+Assumptions!B26)^(5-0.5*Assumptions!B32)</f>
        <v>10402577273.8945</v>
      </c>
    </row>
    <row r="20" spans="1:2" x14ac:dyDescent="0.25">
      <c r="A20" t="s">
        <v>62</v>
      </c>
      <c r="B20" s="18">
        <f>Forecast!B17+B19</f>
        <v>13037367756.438868</v>
      </c>
    </row>
    <row r="21" spans="1:2" x14ac:dyDescent="0.25">
      <c r="A21" t="s">
        <v>63</v>
      </c>
      <c r="B21" s="18">
        <f>-Assumptions!B30</f>
        <v>-2572000000</v>
      </c>
    </row>
    <row r="22" spans="1:2" x14ac:dyDescent="0.25">
      <c r="A22" t="s">
        <v>64</v>
      </c>
      <c r="B22" s="18">
        <f>B20+B21</f>
        <v>10465367756.438868</v>
      </c>
    </row>
    <row r="23" spans="1:2" x14ac:dyDescent="0.25">
      <c r="A23" s="19" t="s">
        <v>65</v>
      </c>
      <c r="B23" s="25">
        <f>B22/Assumptions!B31</f>
        <v>204.35224239051635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346.63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74.26848111418037</v>
      </c>
    </row>
    <row r="29" spans="1:2" x14ac:dyDescent="0.25">
      <c r="A29" s="19" t="s">
        <v>73</v>
      </c>
      <c r="B29" s="12">
        <f>B28/B26-1</f>
        <v>-0.7857413348118155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0.095301</v>
      </c>
      <c r="B5" s="31">
        <v>100.83127240256862</v>
      </c>
      <c r="C5" s="31">
        <v>102.38362155062055</v>
      </c>
      <c r="D5" s="31">
        <v>104.09975195356948</v>
      </c>
      <c r="E5" s="31">
        <v>106.01728506933279</v>
      </c>
      <c r="F5" s="31">
        <v>108.18632024439242</v>
      </c>
    </row>
    <row r="6" spans="1:6" x14ac:dyDescent="0.25">
      <c r="A6" s="30">
        <v>0.105301</v>
      </c>
      <c r="B6" s="31">
        <v>85.47355264436858</v>
      </c>
      <c r="C6" s="31">
        <v>86.18171141633144</v>
      </c>
      <c r="D6" s="31">
        <v>86.93012816391109</v>
      </c>
      <c r="E6" s="31">
        <v>87.72682229766326</v>
      </c>
      <c r="F6" s="31">
        <v>88.58209467806766</v>
      </c>
    </row>
    <row r="7" spans="1:6" x14ac:dyDescent="0.25">
      <c r="A7" s="30">
        <v>0.115301</v>
      </c>
      <c r="B7" s="31">
        <v>73.55579424131643</v>
      </c>
      <c r="C7" s="31">
        <v>73.91209829222366</v>
      </c>
      <c r="D7" s="32">
        <v>74.26840234313083</v>
      </c>
      <c r="E7" s="31">
        <v>74.62470639403804</v>
      </c>
      <c r="F7" s="31">
        <v>74.98101044494523</v>
      </c>
    </row>
    <row r="8" spans="1:6" x14ac:dyDescent="0.25">
      <c r="A8" s="30">
        <v>0.125301</v>
      </c>
      <c r="B8" s="31">
        <v>64.1492674463312</v>
      </c>
      <c r="C8" s="31">
        <v>64.46422681949443</v>
      </c>
      <c r="D8" s="31">
        <v>64.77918619265768</v>
      </c>
      <c r="E8" s="31">
        <v>65.0941455658209</v>
      </c>
      <c r="F8" s="31">
        <v>65.40910493898414</v>
      </c>
    </row>
    <row r="9" spans="1:6" x14ac:dyDescent="0.25">
      <c r="A9" s="30">
        <v>0.135301</v>
      </c>
      <c r="B9" s="31">
        <v>56.13539446702018</v>
      </c>
      <c r="C9" s="31">
        <v>56.41569094961193</v>
      </c>
      <c r="D9" s="31">
        <v>56.695987432203644</v>
      </c>
      <c r="E9" s="31">
        <v>56.97628391479538</v>
      </c>
      <c r="F9" s="31">
        <v>57.256580397387076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5396000000</v>
      </c>
      <c r="C5" s="18">
        <v>4981000000</v>
      </c>
      <c r="D5" s="18">
        <v>4584000000</v>
      </c>
      <c r="E5" s="18">
        <v>5781000000</v>
      </c>
      <c r="F5" s="8" t="s">
        <v>84</v>
      </c>
    </row>
    <row r="6" spans="1:6" x14ac:dyDescent="0.25">
      <c r="A6" t="s">
        <v>44</v>
      </c>
      <c r="B6" s="18">
        <v>800000000</v>
      </c>
      <c r="C6" s="18">
        <v>765000000</v>
      </c>
      <c r="D6" s="18">
        <v>585000000</v>
      </c>
      <c r="E6" s="18">
        <v>936000000</v>
      </c>
      <c r="F6" s="8" t="s">
        <v>85</v>
      </c>
    </row>
    <row r="7" spans="1:6" x14ac:dyDescent="0.25">
      <c r="A7" t="s">
        <v>86</v>
      </c>
      <c r="B7" s="18">
        <v>185000000</v>
      </c>
      <c r="C7" s="18">
        <v>172000000</v>
      </c>
      <c r="D7" s="18">
        <v>176000000</v>
      </c>
      <c r="E7" s="18">
        <v>204000000</v>
      </c>
      <c r="F7" s="8" t="s">
        <v>87</v>
      </c>
    </row>
    <row r="8" spans="1:6" x14ac:dyDescent="0.25">
      <c r="A8" t="s">
        <v>88</v>
      </c>
      <c r="B8" s="18">
        <v>86000000</v>
      </c>
      <c r="C8" s="18">
        <v>59000000</v>
      </c>
      <c r="D8" s="18">
        <v>87000000</v>
      </c>
      <c r="E8" s="18">
        <v>75000000</v>
      </c>
      <c r="F8" s="8" t="s">
        <v>89</v>
      </c>
    </row>
    <row r="9" spans="1:6" x14ac:dyDescent="0.25">
      <c r="A9" t="s">
        <v>90</v>
      </c>
      <c r="B9" s="18">
        <v>-70000000</v>
      </c>
      <c r="C9" s="18">
        <v>-249000000</v>
      </c>
      <c r="D9" s="18">
        <v>515000000</v>
      </c>
      <c r="E9" s="18">
        <v>-27000000</v>
      </c>
      <c r="F9" s="8" t="s">
        <v>91</v>
      </c>
    </row>
    <row r="10" spans="1:6" x14ac:dyDescent="0.25">
      <c r="A10" t="s">
        <v>92</v>
      </c>
      <c r="B10" s="18">
        <v>2697000000</v>
      </c>
      <c r="C10" s="18">
        <v>2362000000</v>
      </c>
      <c r="D10" s="18">
        <v>2414000000</v>
      </c>
      <c r="E10" s="18">
        <v>2199000000</v>
      </c>
      <c r="F10" s="8" t="s">
        <v>93</v>
      </c>
    </row>
    <row r="11" spans="1:6" x14ac:dyDescent="0.25">
      <c r="A11" t="s">
        <v>94</v>
      </c>
      <c r="B11" s="18">
        <v>125000000</v>
      </c>
      <c r="C11" s="18">
        <v>901000000</v>
      </c>
      <c r="D11" s="18">
        <v>137000000</v>
      </c>
      <c r="E11" s="18">
        <v>105000000</v>
      </c>
      <c r="F11" s="8" t="s">
        <v>95</v>
      </c>
    </row>
    <row r="12" spans="1:6" x14ac:dyDescent="0.25">
      <c r="A12" t="s">
        <v>32</v>
      </c>
      <c r="B12" s="34">
        <v>51212395</v>
      </c>
      <c r="C12" s="34">
        <v>51879709</v>
      </c>
      <c r="D12" s="34">
        <v>51710962</v>
      </c>
      <c r="E12" s="34">
        <v>52558712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2026-09-19T01:05:47Z</dcterms:modified>
</cp:coreProperties>
</file>