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<sst xmlns="http://schemas.openxmlformats.org/spreadsheetml/2006/main" count="119" uniqueCount="106">
  <si>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Zebra Technologies Corporation (ZBRA)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</si>
  <si>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</si>
  <si>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</si>
  <si>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</si>
  <si>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</si>
  <si>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</si>
  <si>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</si>
  <si>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</si>
  <si>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</si>
  <si>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</si>
  <si>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</si>
  <si>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</si>
  <si>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</si>
  <si>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</si>
  <si>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</si>
  <si>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</si>
  <si>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</si>
  <si>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</si>
  <si>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</si>
  <si>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</si>
  <si>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</si>
  <si>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</si>
  <si>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</si>
  <si>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</si>
  <si>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7.4x interest cover. Book interest / average debt was lower, at 4.3%.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</si>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</sst>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0.15393782802075617</v>
      </c>
    </row>
    <row r="7" spans="1:2" x14ac:dyDescent="0.25">
      <c r="A7" t="s">
        <v>4</v>
      </c>
      <c r="B7" s="5">
        <v>0.14784227296595306</v>
      </c>
    </row>
    <row r="8" spans="1:2" x14ac:dyDescent="0.25">
      <c r="A8" t="s">
        <v>5</v>
      </c>
      <c r="B8" s="5">
        <v>0.15870049791570173</v>
      </c>
    </row>
    <row r="9" spans="1:2" x14ac:dyDescent="0.25">
      <c r="A9" t="s">
        <v>6</v>
      </c>
      <c r="B9" s="5">
        <v>0.03562457543584455</v>
      </c>
    </row>
    <row r="10" spans="1:3" x14ac:dyDescent="0.25">
      <c r="A10" t="s">
        <v>7</v>
      </c>
      <c r="B10" s="5">
        <v>0.014933833569329473</v>
      </c>
      <c r="C10" s="6" t="s">
        <v>8</v>
      </c>
    </row>
    <row r="11" spans="1:2" x14ac:dyDescent="0.25">
      <c r="A11" t="s">
        <v>9</v>
      </c>
      <c r="B11" s="5">
        <v>0.15285897753196764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19.962893254822337</v>
      </c>
    </row>
    <row r="14" spans="1:3" x14ac:dyDescent="0.25">
      <c r="A14" t="s">
        <v>12</v>
      </c>
      <c r="B14" s="5">
        <v>0.11115442487071321</v>
      </c>
      <c r="C14" s="6" t="s">
        <v>13</v>
      </c>
    </row>
    <row r="15" spans="1:3" x14ac:dyDescent="0.25">
      <c r="A15" t="s">
        <v>14</v>
      </c>
      <c r="B15" s="5">
        <v>0.01356981224271699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1.39128</v>
      </c>
      <c r="C19" s="6" t="s">
        <v>21</v>
      </c>
    </row>
    <row r="20" spans="1:2" x14ac:dyDescent="0.25">
      <c r="A20" t="s">
        <v>22</v>
      </c>
      <c r="B20" s="9">
        <f>B17+B19*B18</f>
        <v>0.107791144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17091449856</v>
      </c>
    </row>
    <row r="23" spans="1:2" x14ac:dyDescent="0.25">
      <c r="A23" t="s">
        <v>26</v>
      </c>
      <c r="B23" s="10">
        <v>2697000000</v>
      </c>
    </row>
    <row r="24" spans="1:2" x14ac:dyDescent="0.25">
      <c r="A24" t="s">
        <v>27</v>
      </c>
      <c r="B24" s="9">
        <f>B22/(B22+B23)</f>
        <v>0.8637083743483702</v>
      </c>
    </row>
    <row r="25" spans="1:2" x14ac:dyDescent="0.25">
      <c r="A25" t="s">
        <v>28</v>
      </c>
      <c r="B25" s="9">
        <f>1-B24</f>
        <v>0.13629162565162978</v>
      </c>
    </row>
    <row r="26" spans="1:2" x14ac:dyDescent="0.25">
      <c r="A26" t="s">
        <v>29</v>
      </c>
      <c r="B26" s="11">
        <f>B24*B20+B25*B21*(1-B8)</f>
        <v>0.09934231721432732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5396000000</v>
      </c>
      <c r="C29" s="6" t="s">
        <v>32</v>
      </c>
    </row>
    <row r="30" spans="1:2" x14ac:dyDescent="0.25">
      <c r="A30" t="s">
        <v>33</v>
      </c>
      <c r="B30" s="10">
        <v>2572000000</v>
      </c>
    </row>
    <row r="31" spans="1:2" x14ac:dyDescent="0.25">
      <c r="A31" t="s">
        <v>34</v>
      </c>
      <c r="B31" s="12">
        <v>51212395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0.15393782802075617</v>
      </c>
      <c r="C5" s="5">
        <v>0.06313682693623446</v>
      </c>
      <c r="D5" s="5">
        <v>0.058369723569205154</v>
      </c>
      <c r="E5" s="5">
        <v>0.05360262020217584</v>
      </c>
      <c r="F5" s="5">
        <v>0.04883551683514654</v>
      </c>
      <c r="G5" s="5">
        <v>0.044068413468117226</v>
      </c>
      <c r="H5" s="5">
        <v>0.03930131010108792</v>
      </c>
      <c r="I5" s="5">
        <v>0.03453420673405862</v>
      </c>
      <c r="J5" s="5">
        <v>0.029767103367029306</v>
      </c>
      <c r="K5" s="5">
        <v>0.025</v>
      </c>
    </row>
    <row r="6" spans="1:11" x14ac:dyDescent="0.25">
      <c r="A6" t="s">
        <v>50</v>
      </c>
      <c r="B6" s="18">
        <f>Assumptions!B29*(1+B5)</f>
        <v>6226648520</v>
      </c>
      <c r="C6" s="18">
        <f>B6*(1+C5)</f>
        <v>6619779350</v>
      </c>
      <c r="D6" s="18">
        <f>C6*(1+D5)</f>
        <v>7006174040.748632</v>
      </c>
      <c r="E6" s="18">
        <f>D6*(1+E5)</f>
        <v>7381723326.925224</v>
      </c>
      <c r="F6" s="18">
        <f>E6*(1+F5)</f>
        <v>7742213600.729676</v>
      </c>
      <c r="G6" s="18">
        <f>F6*(1+G5)</f>
        <v>8083400670.845113</v>
      </c>
      <c r="H6" s="18">
        <f>G6*(1+H5)</f>
        <v>8401088907.281339</v>
      </c>
      <c r="I6" s="18">
        <f>H6*(1+I5)</f>
        <v>8691213848.396599</v>
      </c>
      <c r="J6" s="18">
        <f>I6*(1+J5)</f>
        <v>8949926109.406776</v>
      </c>
      <c r="K6" s="18">
        <f>J6*(1+K5)</f>
        <v>9173674262.141945</v>
      </c>
    </row>
    <row r="7" spans="1:11" x14ac:dyDescent="0.25">
      <c r="A7" t="s">
        <v>4</v>
      </c>
      <c r="B7" s="9">
        <f>Assumptions!B7</f>
        <v>0.14784227296595306</v>
      </c>
      <c r="C7" s="9">
        <f>Assumptions!B7</f>
        <v>0.14784227296595306</v>
      </c>
      <c r="D7" s="9">
        <f>Assumptions!B7</f>
        <v>0.14784227296595306</v>
      </c>
      <c r="E7" s="9">
        <f>Assumptions!B7</f>
        <v>0.14784227296595306</v>
      </c>
      <c r="F7" s="9">
        <f>Assumptions!B7</f>
        <v>0.14784227296595306</v>
      </c>
      <c r="G7" s="9">
        <f>Assumptions!B7</f>
        <v>0.14784227296595306</v>
      </c>
      <c r="H7" s="9">
        <f>Assumptions!B7</f>
        <v>0.14784227296595306</v>
      </c>
      <c r="I7" s="9">
        <f>Assumptions!B7</f>
        <v>0.14784227296595306</v>
      </c>
      <c r="J7" s="9">
        <f>Assumptions!B7</f>
        <v>0.14784227296595306</v>
      </c>
      <c r="K7" s="9">
        <f>Assumptions!B7</f>
        <v>0.14784227296595306</v>
      </c>
    </row>
    <row r="8" spans="1:11" x14ac:dyDescent="0.25">
      <c r="A8" t="s">
        <v>51</v>
      </c>
      <c r="B8" s="18">
        <f>B6*B7</f>
        <v>920561870.1568877</v>
      </c>
      <c r="C8" s="18">
        <f>C6*C7</f>
        <v>978683225.6370794</v>
      </c>
      <c r="D8" s="18">
        <f>D6*D7</f>
        <v>1035808694.9793336</v>
      </c>
      <c r="E8" s="18">
        <f>E6*E7</f>
        <v>1091330755.058422</v>
      </c>
      <c r="F8" s="18">
        <f>F6*F7</f>
        <v>1144626456.5197911</v>
      </c>
      <c r="G8" s="18">
        <f>G6*G7</f>
        <v>1195068328.4722512</v>
      </c>
      <c r="H8" s="18">
        <f>H6*H7</f>
        <v>1242036079.441528</v>
      </c>
      <c r="I8" s="18">
        <f>I6*I7</f>
        <v>1284928810.1801214</v>
      </c>
      <c r="J8" s="18">
        <f>J6*J7</f>
        <v>1323177418.892027</v>
      </c>
      <c r="K8" s="18">
        <f>K6*K7</f>
        <v>1356256854.3643274</v>
      </c>
    </row>
    <row r="9" spans="1:11" x14ac:dyDescent="0.25">
      <c r="A9" t="s">
        <v>52</v>
      </c>
      <c r="B9" s="18">
        <f>B8*(1-Assumptions!B8)</f>
        <v>774468243.00078</v>
      </c>
      <c r="C9" s="18">
        <f>C8*(1-Assumptions!B8)</f>
        <v>823365710.4267298</v>
      </c>
      <c r="D9" s="18">
        <f>D8*(1-Assumptions!B8)</f>
        <v>871425339.3407001</v>
      </c>
      <c r="E9" s="18">
        <f>E8*(1-Assumptions!B8)</f>
        <v>918136020.8399317</v>
      </c>
      <c r="F9" s="18">
        <f>F8*(1-Assumptions!B8)</f>
        <v>962973667.9426149</v>
      </c>
      <c r="G9" s="18">
        <f>G8*(1-Assumptions!B8)</f>
        <v>1005410389.7004195</v>
      </c>
      <c r="H9" s="18">
        <f>H8*(1-Assumptions!B8)</f>
        <v>1044924335.2048916</v>
      </c>
      <c r="I9" s="18">
        <f>I8*(1-Assumptions!B8)</f>
        <v>1081009968.218306</v>
      </c>
      <c r="J9" s="18">
        <f>J8*(1-Assumptions!B8)</f>
        <v>1113188503.6830492</v>
      </c>
      <c r="K9" s="18">
        <f>K8*(1-Assumptions!B8)</f>
        <v>1141018216.2751253</v>
      </c>
    </row>
    <row r="10" spans="1:11" x14ac:dyDescent="0.25">
      <c r="A10" t="s">
        <v>53</v>
      </c>
      <c r="B10" s="18">
        <f>B6*Assumptions!B9</f>
        <v>221821709.9132298</v>
      </c>
      <c r="C10" s="18">
        <f>C6*Assumptions!B9</f>
        <v>235826828.82272097</v>
      </c>
      <c r="D10" s="18">
        <f>D6*Assumptions!B9</f>
        <v>249591975.63130546</v>
      </c>
      <c r="E10" s="18">
        <f>E6*Assumptions!B9</f>
        <v>262970759.50658104</v>
      </c>
      <c r="F10" s="18">
        <f>F6*Assumptions!B9</f>
        <v>275813072.459616</v>
      </c>
      <c r="G10" s="18">
        <f>G6*Assumptions!B9</f>
        <v>287967716.97667813</v>
      </c>
      <c r="H10" s="18">
        <f>H6*Assumptions!B9</f>
        <v>299285225.5206809</v>
      </c>
      <c r="I10" s="18">
        <f>I6*Assumptions!B9</f>
        <v>309620803.3712614</v>
      </c>
      <c r="J10" s="18">
        <f>J6*Assumptions!B9</f>
        <v>318837317.8297964</v>
      </c>
      <c r="K10" s="18">
        <f>K6*Assumptions!B9</f>
        <v>326808250.77554125</v>
      </c>
    </row>
    <row r="11" spans="1:11" x14ac:dyDescent="0.25">
      <c r="A11" t="s">
        <v>54</v>
      </c>
      <c r="B11" s="18">
        <f>-B6*B19</f>
        <v>-92987732.69239168</v>
      </c>
      <c r="C11" s="18">
        <f>-C6*C19</f>
        <v>-121501022.28165643</v>
      </c>
      <c r="D11" s="18">
        <f>-D6*D19</f>
        <v>-152556969.64892846</v>
      </c>
      <c r="E11" s="18">
        <f>-E6*E19</f>
        <v>-185982920.61875305</v>
      </c>
      <c r="F11" s="18">
        <f>-F6*F19</f>
        <v>-221547013.76907456</v>
      </c>
      <c r="G11" s="18">
        <f>-G6*G19</f>
        <v>-258958758.89494422</v>
      </c>
      <c r="H11" s="18">
        <f>-H6*H19</f>
        <v>-297871320.14950484</v>
      </c>
      <c r="I11" s="18">
        <f>-I6*I19</f>
        <v>-337885558.02840954</v>
      </c>
      <c r="J11" s="18">
        <f>-J6*J19</f>
        <v>-378555821.7011519</v>
      </c>
      <c r="K11" s="18">
        <f>-K6*K19</f>
        <v>-419397416.31788206</v>
      </c>
    </row>
    <row r="12" spans="1:11" x14ac:dyDescent="0.25">
      <c r="A12" t="s">
        <v>55</v>
      </c>
      <c r="B12" s="18">
        <f>-(B6-Assumptions!B29)*Assumptions!B11</f>
        <v>-126972083.45564218</v>
      </c>
      <c r="C12" s="18">
        <f>-(C6-B6)*Assumptions!B11</f>
        <v>-60093576.71009379</v>
      </c>
      <c r="D12" s="18">
        <f>-(D6-C6)*Assumptions!B11</f>
        <v>-59063897.35161679</v>
      </c>
      <c r="E12" s="18">
        <f>-(E6-D6)*Assumptions!B11</f>
        <v>-57406079.89781415</v>
      </c>
      <c r="F12" s="18">
        <f>-(F6-E6)*Assumptions!B11</f>
        <v>-55104174.66396759</v>
      </c>
      <c r="G12" s="18">
        <f>-(G6-F6)*Assumptions!B11</f>
        <v>-52153506.68497339</v>
      </c>
      <c r="H12" s="18">
        <f>-(H6-G6)*Assumptions!B11</f>
        <v>-48561498.99557548</v>
      </c>
      <c r="I12" s="18">
        <f>-(I6-H6)*Assumptions!B11</f>
        <v>-44348201.85540098</v>
      </c>
      <c r="J12" s="18">
        <f>-(J6-I6)*Assumptions!B11</f>
        <v>-39546491.69299929</v>
      </c>
      <c r="K12" s="18">
        <f>-(K6-J6)*Assumptions!B11</f>
        <v>-34201913.85176438</v>
      </c>
    </row>
    <row r="13" spans="1:11" x14ac:dyDescent="0.25">
      <c r="A13" s="19" t="s">
        <v>56</v>
      </c>
      <c r="B13" s="20">
        <f>B9+B10+B11+B12</f>
        <v>776330136.765976</v>
      </c>
      <c r="C13" s="20">
        <f>C9+C10+C11+C12</f>
        <v>877597940.2577007</v>
      </c>
      <c r="D13" s="20">
        <f>D9+D10+D11+D12</f>
        <v>909396447.9714605</v>
      </c>
      <c r="E13" s="20">
        <f>E9+E10+E11+E12</f>
        <v>937717779.8299456</v>
      </c>
      <c r="F13" s="20">
        <f>F9+F10+F11+F12</f>
        <v>962135551.9691888</v>
      </c>
      <c r="G13" s="20">
        <f>G9+G10+G11+G12</f>
        <v>982265841.0971802</v>
      </c>
      <c r="H13" s="20">
        <f>H9+H10+H11+H12</f>
        <v>997776741.5804923</v>
      </c>
      <c r="I13" s="20">
        <f>I9+I10+I11+I12</f>
        <v>1008397011.7057569</v>
      </c>
      <c r="J13" s="20">
        <f>J9+J10+J11+J12</f>
        <v>1013923508.1186944</v>
      </c>
      <c r="K13" s="20">
        <f>K9+K10+K11+K12</f>
        <v>1014227136.8810201</v>
      </c>
    </row>
    <row r="14" spans="1:11" x14ac:dyDescent="0.25">
      <c r="A14" t="s">
        <v>57</v>
      </c>
      <c r="B14" s="21">
        <f>1/(1+Assumptions!$B$26)^(1-0.5*Assumptions!$B$32)</f>
        <v>0.9537477516389316</v>
      </c>
      <c r="C14" s="21">
        <f>1/(1+Assumptions!$B$26)^(2-0.5*Assumptions!$B$32)</f>
        <v>0.8675621202826755</v>
      </c>
      <c r="D14" s="21">
        <f>1/(1+Assumptions!$B$26)^(3-0.5*Assumptions!$B$32)</f>
        <v>0.7891646730028824</v>
      </c>
      <c r="E14" s="21">
        <f>1/(1+Assumptions!$B$26)^(4-0.5*Assumptions!$B$32)</f>
        <v>0.7178516287834549</v>
      </c>
      <c r="F14" s="21">
        <f>1/(1+Assumptions!$B$26)^(5-0.5*Assumptions!$B$32)</f>
        <v>0.6529828039390417</v>
      </c>
      <c r="G14" s="21">
        <f>1/(1+Assumptions!$B$26)^(6-0.5*Assumptions!$B$32)</f>
        <v>0.5939758651278558</v>
      </c>
      <c r="H14" s="21">
        <f>1/(1+Assumptions!$B$26)^(7-0.5*Assumptions!$B$32)</f>
        <v>0.5403011016922898</v>
      </c>
      <c r="I14" s="21">
        <f>1/(1+Assumptions!$B$26)^(8-0.5*Assumptions!$B$32)</f>
        <v>0.4914766703981549</v>
      </c>
      <c r="J14" s="21">
        <f>1/(1+Assumptions!$B$26)^(9-0.5*Assumptions!$B$32)</f>
        <v>0.4470642698841338</v>
      </c>
      <c r="K14" s="21">
        <f>1/(1+Assumptions!$B$26)^(10-0.5*Assumptions!$B$32)</f>
        <v>0.4066652059905871</v>
      </c>
    </row>
    <row r="15" spans="1:11" x14ac:dyDescent="0.25">
      <c r="A15" s="19" t="s">
        <v>58</v>
      </c>
      <c r="B15" s="20">
        <f>B13*B14</f>
        <v>740423122.4700938</v>
      </c>
      <c r="C15" s="20">
        <f>C13*C14</f>
        <v>761370729.8056797</v>
      </c>
      <c r="D15" s="20">
        <f>D13*D14</f>
        <v>717663550.4933803</v>
      </c>
      <c r="E15" s="20">
        <f>E13*E14</f>
        <v>673142235.5901315</v>
      </c>
      <c r="F15" s="20">
        <f>F13*F14</f>
        <v>628257970.4942786</v>
      </c>
      <c r="G15" s="20">
        <f>G13*G14</f>
        <v>583442202.7512386</v>
      </c>
      <c r="H15" s="20">
        <f>H13*H14</f>
        <v>539099872.7188832</v>
      </c>
      <c r="I15" s="20">
        <f>I13*I14</f>
        <v>495603605.75259465</v>
      </c>
      <c r="J15" s="20">
        <f>J13*J14</f>
        <v>453288972.8754437</v>
      </c>
      <c r="K15" s="20">
        <f>K13*K14</f>
        <v>412450887.5409634</v>
      </c>
    </row>
    <row r="17" spans="1:2" x14ac:dyDescent="0.25">
      <c r="A17" s="22" t="s">
        <v>59</v>
      </c>
      <c r="B17" s="23">
        <f>SUM(B15:K15)</f>
        <v>6004743150.492687</v>
      </c>
    </row>
    <row r="19" spans="1:11" x14ac:dyDescent="0.25">
      <c r="A19" t="s">
        <v>7</v>
      </c>
      <c r="B19" s="9">
        <f>Assumptions!$B$10+($B$20-Assumptions!$B$10)*0/9</f>
        <v>0.014933833569329473</v>
      </c>
      <c r="C19" s="9">
        <f>Assumptions!$B$10+($B$20-Assumptions!$B$10)*1/9</f>
        <v>0.01835424050526041</v>
      </c>
      <c r="D19" s="9">
        <f>Assumptions!$B$10+($B$20-Assumptions!$B$10)*2/9</f>
        <v>0.02177464744119135</v>
      </c>
      <c r="E19" s="9">
        <f>Assumptions!$B$10+($B$20-Assumptions!$B$10)*3/9</f>
        <v>0.025195054377122286</v>
      </c>
      <c r="F19" s="9">
        <f>Assumptions!$B$10+($B$20-Assumptions!$B$10)*4/9</f>
        <v>0.028615461313053224</v>
      </c>
      <c r="G19" s="9">
        <f>Assumptions!$B$10+($B$20-Assumptions!$B$10)*5/9</f>
        <v>0.03203586824898416</v>
      </c>
      <c r="H19" s="9">
        <f>Assumptions!$B$10+($B$20-Assumptions!$B$10)*6/9</f>
        <v>0.0354562751849151</v>
      </c>
      <c r="I19" s="9">
        <f>Assumptions!$B$10+($B$20-Assumptions!$B$10)*7/9</f>
        <v>0.03887668212084604</v>
      </c>
      <c r="J19" s="9">
        <f>Assumptions!$B$10+($B$20-Assumptions!$B$10)*8/9</f>
        <v>0.042297089056776975</v>
      </c>
      <c r="K19" s="9">
        <f>Assumptions!$B$10+($B$20-Assumptions!$B$10)*9/9</f>
        <v>0.04571749599270791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0.04571749599270791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1014227136.8810201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1311232635.0211627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0.22491232381507253</v>
      </c>
    </row>
    <row r="7" spans="1:2" x14ac:dyDescent="0.25">
      <c r="A7" t="s">
        <v>66</v>
      </c>
      <c r="B7" s="18">
        <f>-MAX(B5,0)*B6</f>
        <v>-294912379.0047706</v>
      </c>
    </row>
    <row r="8" spans="1:2" x14ac:dyDescent="0.25">
      <c r="A8" t="s">
        <v>67</v>
      </c>
      <c r="B8" s="18">
        <f>IF(OR(Assumptions!$B$33=0,Assumptions!B12&lt;=0),B5,MAX(B5+B7,0))</f>
        <v>1016320256.0163922</v>
      </c>
    </row>
    <row r="9" spans="1:2" x14ac:dyDescent="0.25">
      <c r="A9" t="s">
        <v>68</v>
      </c>
      <c r="B9" s="18">
        <f>B8*(1+Assumptions!B12)/(Assumptions!B26-Assumptions!B12)</f>
        <v>14012588004.400259</v>
      </c>
    </row>
    <row r="10" spans="1:2" x14ac:dyDescent="0.25">
      <c r="A10" t="s">
        <v>69</v>
      </c>
      <c r="B10" s="18">
        <f>B9/(1+Assumptions!B26)^(10-0.5*Assumptions!B32)</f>
        <v>5698431987.270661</v>
      </c>
    </row>
    <row r="11" spans="1:2" x14ac:dyDescent="0.25">
      <c r="A11" t="s">
        <v>70</v>
      </c>
      <c r="B11" s="18">
        <f>Forecast!B17+B10</f>
        <v>11703175137.763348</v>
      </c>
    </row>
    <row r="12" spans="1:2" x14ac:dyDescent="0.25">
      <c r="A12" t="s">
        <v>71</v>
      </c>
      <c r="B12" s="18">
        <f>-Assumptions!B30</f>
        <v>-2572000000</v>
      </c>
    </row>
    <row r="13" spans="1:2" x14ac:dyDescent="0.25">
      <c r="A13" t="s">
        <v>72</v>
      </c>
      <c r="B13" s="18">
        <f>B11+B12</f>
        <v>9131175137.763348</v>
      </c>
    </row>
    <row r="14" spans="1:2" x14ac:dyDescent="0.25">
      <c r="A14" s="19" t="s">
        <v>73</v>
      </c>
      <c r="B14" s="24">
        <f>B13/Assumptions!B31</f>
        <v>178.30009976614738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1683065105.1398687</v>
      </c>
    </row>
    <row r="18" spans="1:2" x14ac:dyDescent="0.25">
      <c r="A18" t="s">
        <v>68</v>
      </c>
      <c r="B18" s="18">
        <f>B17*Assumptions!B13</f>
        <v>33598849034.823532</v>
      </c>
    </row>
    <row r="19" spans="1:2" x14ac:dyDescent="0.25">
      <c r="A19" t="s">
        <v>69</v>
      </c>
      <c r="B19" s="18">
        <f>B18/(1+Assumptions!B26)^(10-0.5*Assumptions!B32)</f>
        <v>13663482863.79315</v>
      </c>
    </row>
    <row r="20" spans="1:2" x14ac:dyDescent="0.25">
      <c r="A20" t="s">
        <v>70</v>
      </c>
      <c r="B20" s="18">
        <f>Forecast!B17+B19</f>
        <v>19668226014.285835</v>
      </c>
    </row>
    <row r="21" spans="1:2" x14ac:dyDescent="0.25">
      <c r="A21" t="s">
        <v>71</v>
      </c>
      <c r="B21" s="18">
        <f>-Assumptions!B30</f>
        <v>-2572000000</v>
      </c>
    </row>
    <row r="22" spans="1:2" x14ac:dyDescent="0.25">
      <c r="A22" t="s">
        <v>72</v>
      </c>
      <c r="B22" s="18">
        <f>B20+B21</f>
        <v>17096226014.285835</v>
      </c>
    </row>
    <row r="23" spans="1:2" x14ac:dyDescent="0.25">
      <c r="A23" s="19" t="s">
        <v>73</v>
      </c>
      <c r="B23" s="25">
        <f>B22/Assumptions!B31</f>
        <v>333.82984752589357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361.26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178.30009976614738</v>
      </c>
    </row>
    <row r="29" spans="1:2" x14ac:dyDescent="0.25">
      <c r="A29" s="19" t="s">
        <v>81</v>
      </c>
      <c r="B29" s="11">
        <f>B28/B26-1</f>
        <v>-0.5064493722910165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0.079342</v>
      </c>
      <c r="B5" s="31">
        <v>252.61937474625262</v>
      </c>
      <c r="C5" s="31">
        <v>255.0480954600815</v>
      </c>
      <c r="D5" s="31">
        <v>258.3996004341248</v>
      </c>
      <c r="E5" s="31">
        <v>262.95441668194553</v>
      </c>
      <c r="F5" s="31">
        <v>269.11960002210526</v>
      </c>
    </row>
    <row r="6" spans="1:6" x14ac:dyDescent="0.25">
      <c r="A6" s="30">
        <v>0.089342</v>
      </c>
      <c r="B6" s="31">
        <v>211.9727467316049</v>
      </c>
      <c r="C6" s="31">
        <v>211.88086542134872</v>
      </c>
      <c r="D6" s="31">
        <v>212.15494155755246</v>
      </c>
      <c r="E6" s="31">
        <v>212.88747896039249</v>
      </c>
      <c r="F6" s="31">
        <v>214.2050265054998</v>
      </c>
    </row>
    <row r="7" spans="1:6" x14ac:dyDescent="0.25">
      <c r="A7" s="30">
        <v>0.099342</v>
      </c>
      <c r="B7" s="31">
        <v>180.9942773321242</v>
      </c>
      <c r="C7" s="31">
        <v>179.58652472521825</v>
      </c>
      <c r="D7" s="32">
        <v>178.30102995825504</v>
      </c>
      <c r="E7" s="31">
        <v>177.1642397388454</v>
      </c>
      <c r="F7" s="31">
        <v>176.21082144153937</v>
      </c>
    </row>
    <row r="8" spans="1:6" x14ac:dyDescent="0.25">
      <c r="A8" s="30">
        <v>0.109342</v>
      </c>
      <c r="B8" s="31">
        <v>156.60782445858186</v>
      </c>
      <c r="C8" s="31">
        <v>154.5148657463823</v>
      </c>
      <c r="D8" s="31">
        <v>152.43406180868107</v>
      </c>
      <c r="E8" s="31">
        <v>150.36771056609382</v>
      </c>
      <c r="F8" s="31">
        <v>148.31872814176361</v>
      </c>
    </row>
    <row r="9" spans="1:6" x14ac:dyDescent="0.25">
      <c r="A9" s="30">
        <v>0.119342</v>
      </c>
      <c r="B9" s="31">
        <v>138.21654140458278</v>
      </c>
      <c r="C9" s="31">
        <v>136.27706299104605</v>
      </c>
      <c r="D9" s="31">
        <v>134.33758457750935</v>
      </c>
      <c r="E9" s="31">
        <v>132.3981061639726</v>
      </c>
      <c r="F9" s="31">
        <v>130.45862775043582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5396000000</v>
      </c>
      <c r="C5" s="18">
        <v>4981000000</v>
      </c>
      <c r="D5" s="18">
        <v>4584000000</v>
      </c>
      <c r="E5" s="18">
        <v>5781000000</v>
      </c>
      <c r="F5" s="6" t="s">
        <v>91</v>
      </c>
    </row>
    <row r="6" spans="1:6" x14ac:dyDescent="0.25">
      <c r="A6" t="s">
        <v>51</v>
      </c>
      <c r="B6" s="18">
        <v>800000000</v>
      </c>
      <c r="C6" s="18">
        <v>765000000</v>
      </c>
      <c r="D6" s="18">
        <v>585000000</v>
      </c>
      <c r="E6" s="18">
        <v>936000000</v>
      </c>
      <c r="F6" s="6" t="s">
        <v>92</v>
      </c>
    </row>
    <row r="7" spans="1:6" x14ac:dyDescent="0.25">
      <c r="A7" t="s">
        <v>93</v>
      </c>
      <c r="B7" s="18">
        <v>185000000</v>
      </c>
      <c r="C7" s="18">
        <v>172000000</v>
      </c>
      <c r="D7" s="18">
        <v>176000000</v>
      </c>
      <c r="E7" s="18">
        <v>204000000</v>
      </c>
      <c r="F7" s="6" t="s">
        <v>94</v>
      </c>
    </row>
    <row r="8" spans="1:6" x14ac:dyDescent="0.25">
      <c r="A8" t="s">
        <v>95</v>
      </c>
      <c r="B8" s="18">
        <v>86000000</v>
      </c>
      <c r="C8" s="18">
        <v>59000000</v>
      </c>
      <c r="D8" s="18">
        <v>87000000</v>
      </c>
      <c r="E8" s="18">
        <v>75000000</v>
      </c>
      <c r="F8" s="6" t="s">
        <v>96</v>
      </c>
    </row>
    <row r="9" spans="1:6" x14ac:dyDescent="0.25">
      <c r="A9" t="s">
        <v>97</v>
      </c>
      <c r="B9" s="18">
        <v>-70000000</v>
      </c>
      <c r="C9" s="18">
        <v>-249000000</v>
      </c>
      <c r="D9" s="18">
        <v>515000000</v>
      </c>
      <c r="E9" s="18">
        <v>-27000000</v>
      </c>
      <c r="F9" s="6" t="s">
        <v>98</v>
      </c>
    </row>
    <row r="10" spans="1:6" x14ac:dyDescent="0.25">
      <c r="A10" t="s">
        <v>99</v>
      </c>
      <c r="B10" s="18">
        <v>2697000000</v>
      </c>
      <c r="C10" s="18">
        <v>2362000000</v>
      </c>
      <c r="D10" s="18">
        <v>2414000000</v>
      </c>
      <c r="E10" s="18">
        <v>2199000000</v>
      </c>
      <c r="F10" s="6" t="s">
        <v>100</v>
      </c>
    </row>
    <row r="11" spans="1:6" x14ac:dyDescent="0.25">
      <c r="A11" t="s">
        <v>101</v>
      </c>
      <c r="B11" s="18">
        <v>125000000</v>
      </c>
      <c r="C11" s="18">
        <v>901000000</v>
      </c>
      <c r="D11" s="18">
        <v>137000000</v>
      </c>
      <c r="E11" s="18">
        <v>105000000</v>
      </c>
      <c r="F11" s="6" t="s">
        <v>102</v>
      </c>
    </row>
    <row r="12" spans="1:6" x14ac:dyDescent="0.25">
      <c r="A12" t="s">
        <v>34</v>
      </c>
      <c r="B12" s="34">
        <v>51212395</v>
      </c>
      <c r="C12" s="34">
        <v>51879709</v>
      </c>
      <c r="D12" s="34">
        <v>51710962</v>
      </c>
      <c r="E12" s="34">
        <v>52558712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