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<sst xmlns="http://schemas.openxmlformats.org/spreadsheetml/2006/main" count="115" uniqueCount="103">
  <si>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Zip Co Limited (ZIP.AX)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</si>
  <si>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</si>
  <si>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</si>
  <si>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</si>
  <si>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</si>
  <si>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</si>
  <si>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</si>
  <si>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</si>
  <si>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</si>
  <si>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</si>
  <si>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</si>
  <si>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</si>
  <si>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</si>
  <si>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</si>
  <si>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</si>
  <si>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</si>
  <si>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</si>
  <si>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</si>
  <si>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</si>
  <si>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Clamped from a reported 3.245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</si>
  <si>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</si>
  <si>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</si>
  <si>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</si>
  <si>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</si>
  <si>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</si>
  <si>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</si>
  <si>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</si>
  <si>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</si>
  <si>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</si>
  <si>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</si>
  <si>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</si>
  <si>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</si>
  <si>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</si>
  <si>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</si>
  <si>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</si>
  <si>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</si>
  <si>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</si>
  <si>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</si>
  <si>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</si>
  <si>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</si>
  <si>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</si>
  <si>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</si>
  <si>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</si>
  <si>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</si>
  <si>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</si>
  <si>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</si>
  <si>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</si>
  <si>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</si>
  <si>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</si>
  <si>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</si>
  <si>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</si>
  <si>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</si>
  <si>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</si>
  <si>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</si>
  <si>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</si>
  <si>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</si>
  <si>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</si>
  <si>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</si>
  <si>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</si>
  <si>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</si>
  <si>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</si>
  <si>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</si>
  <si>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</si>
  <si>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</si>
  <si>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</si>
  <si>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</si>
  <si>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</si>
  <si>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</si>
  <si>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</si>
  <si>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</si>
  <si>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</si>
  <si>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</si>
  <si>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</si>
  <si>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</si>
  <si>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</si>
  <si>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</si>
  <si>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</si>
  <si>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</si>
  <si>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</si>
  <si>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</si>
  <si>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</si>
  <si>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</si>
  <si>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</si>
  <si>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</si>
  <si>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</si>
  <si>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</si>
  <si>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</si>
  <si>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</si>
  <si>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</si>
  <si>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</si>
  <si>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</si>
  <si>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</si>
  <si>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</si>
  <si>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</si>
  <si>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</si>
  <si>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</si>
  <si>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</si>
  <si>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</si>
  <si>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</si>
  <si>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</si>
  <si>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2.65% of revenue against depreciation and amortisation of 6.56%. A business cannot depreciate more than it invests indefinitely. Capex has been set to 6.56%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</si>
  <si>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Beta of 3.245 is not usable in a cost of equity. Clamped to 2.50.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</si>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</sst>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0.24446097236041897</v>
      </c>
    </row>
    <row r="7" spans="1:2" x14ac:dyDescent="0.25">
      <c r="A7" t="s">
        <v>5</v>
      </c>
      <c r="B7" s="6">
        <v>0.19612592586012093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0.06559093867305676</v>
      </c>
    </row>
    <row r="10" spans="1:2" x14ac:dyDescent="0.25">
      <c r="A10" t="s">
        <v>8</v>
      </c>
      <c r="B10" s="6">
        <v>0.06559093867305676</v>
      </c>
    </row>
    <row r="11" spans="1:2" x14ac:dyDescent="0.25">
      <c r="A11" t="s">
        <v>9</v>
      </c>
      <c r="B11" s="6">
        <v>-0.015918700785912576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12.397562918990461</v>
      </c>
    </row>
    <row r="14" spans="1:3" x14ac:dyDescent="0.25">
      <c r="A14" t="s">
        <v>12</v>
      </c>
      <c r="B14" s="6">
        <v>0.13128789431306415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2.5</v>
      </c>
      <c r="C19" s="8" t="s">
        <v>19</v>
      </c>
    </row>
    <row r="20" spans="1:2" x14ac:dyDescent="0.25">
      <c r="A20" t="s">
        <v>20</v>
      </c>
      <c r="B20" s="10">
        <f>B17+B19*B18</f>
        <v>0.20348</v>
      </c>
    </row>
    <row r="21" spans="1:3" x14ac:dyDescent="0.25">
      <c r="A21" t="s">
        <v>21</v>
      </c>
      <c r="B21" s="6">
        <v>0.08589385366998904</v>
      </c>
      <c r="C21" s="8" t="s">
        <v>22</v>
      </c>
    </row>
    <row r="22" spans="1:2" x14ac:dyDescent="0.25">
      <c r="A22" t="s">
        <v>23</v>
      </c>
      <c r="B22" s="11">
        <v>2716109568</v>
      </c>
    </row>
    <row r="23" spans="1:2" x14ac:dyDescent="0.25">
      <c r="A23" t="s">
        <v>24</v>
      </c>
      <c r="B23" s="11">
        <v>2755419000</v>
      </c>
    </row>
    <row r="24" spans="1:2" x14ac:dyDescent="0.25">
      <c r="A24" t="s">
        <v>25</v>
      </c>
      <c r="B24" s="10">
        <f>B22/(B22+B23)</f>
        <v>0.49640781990704574</v>
      </c>
    </row>
    <row r="25" spans="1:2" x14ac:dyDescent="0.25">
      <c r="A25" t="s">
        <v>26</v>
      </c>
      <c r="B25" s="10">
        <f>1-B24</f>
        <v>0.5035921800929543</v>
      </c>
    </row>
    <row r="26" spans="1:2" x14ac:dyDescent="0.25">
      <c r="A26" t="s">
        <v>27</v>
      </c>
      <c r="B26" s="12">
        <f>B24*B20+B25*B21*(1-B8)</f>
        <v>0.13128789431306415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1336001000</v>
      </c>
      <c r="C29" s="8" t="s">
        <v>30</v>
      </c>
    </row>
    <row r="30" spans="1:2" x14ac:dyDescent="0.25">
      <c r="A30" t="s">
        <v>31</v>
      </c>
      <c r="B30" s="11">
        <v>2323289000</v>
      </c>
    </row>
    <row r="31" spans="1:2" x14ac:dyDescent="0.25">
      <c r="A31" t="s">
        <v>32</v>
      </c>
      <c r="B31" s="13">
        <v>1284580574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0.24446097236041897</v>
      </c>
      <c r="C5" s="10">
        <f>Assumptions!B6</f>
        <v>0.24446097236041897</v>
      </c>
      <c r="D5" s="10">
        <f>Assumptions!B6</f>
        <v>0.24446097236041897</v>
      </c>
      <c r="E5" s="10">
        <f>Assumptions!B6</f>
        <v>0.24446097236041897</v>
      </c>
      <c r="F5" s="10">
        <f>Assumptions!B6</f>
        <v>0.24446097236041897</v>
      </c>
    </row>
    <row r="6" spans="1:6" x14ac:dyDescent="0.25">
      <c r="A6" t="s">
        <v>43</v>
      </c>
      <c r="B6" s="18">
        <f>Assumptions!B29*(1+B5)</f>
        <v>1662601103.534492</v>
      </c>
      <c r="C6" s="18">
        <f>B6*(1+C5)</f>
        <v>2069042185.9520395</v>
      </c>
      <c r="D6" s="18">
        <f>C6*(1+D5)</f>
        <v>2574842250.584602</v>
      </c>
      <c r="E6" s="18">
        <f>D6*(1+E5)</f>
        <v>3204290690.837203</v>
      </c>
      <c r="F6" s="18">
        <f>E6*(1+F5)</f>
        <v>3987614708.844704</v>
      </c>
    </row>
    <row r="7" spans="1:6" x14ac:dyDescent="0.25">
      <c r="A7" t="s">
        <v>5</v>
      </c>
      <c r="B7" s="10">
        <f>Assumptions!B7</f>
        <v>0.19612592586012093</v>
      </c>
      <c r="C7" s="10">
        <f>Assumptions!B7</f>
        <v>0.19612592586012093</v>
      </c>
      <c r="D7" s="10">
        <f>Assumptions!B7</f>
        <v>0.19612592586012093</v>
      </c>
      <c r="E7" s="10">
        <f>Assumptions!B7</f>
        <v>0.19612592586012093</v>
      </c>
      <c r="F7" s="10">
        <f>Assumptions!B7</f>
        <v>0.19612592586012093</v>
      </c>
    </row>
    <row r="8" spans="1:6" x14ac:dyDescent="0.25">
      <c r="A8" t="s">
        <v>44</v>
      </c>
      <c r="B8" s="18">
        <f>B6*B7</f>
        <v>326079180.766761</v>
      </c>
      <c r="C8" s="18">
        <f>C6*C7</f>
        <v>405792814.36349225</v>
      </c>
      <c r="D8" s="18">
        <f>D6*D7</f>
        <v>504993320.33966255</v>
      </c>
      <c r="E8" s="18">
        <f>E6*E7</f>
        <v>628444478.465413</v>
      </c>
      <c r="F8" s="18">
        <f>F6*F7</f>
        <v>782074626.7456042</v>
      </c>
    </row>
    <row r="9" spans="1:6" x14ac:dyDescent="0.25">
      <c r="A9" t="s">
        <v>45</v>
      </c>
      <c r="B9" s="18">
        <f>B8*(1-Assumptions!B8)</f>
        <v>228255426.5367327</v>
      </c>
      <c r="C9" s="18">
        <f>C8*(1-Assumptions!B8)</f>
        <v>284054970.05444455</v>
      </c>
      <c r="D9" s="18">
        <f>D8*(1-Assumptions!B8)</f>
        <v>353495324.23776376</v>
      </c>
      <c r="E9" s="18">
        <f>E8*(1-Assumptions!B8)</f>
        <v>439911134.92578906</v>
      </c>
      <c r="F9" s="18">
        <f>F8*(1-Assumptions!B8)</f>
        <v>547452238.7219229</v>
      </c>
    </row>
    <row r="10" spans="1:6" x14ac:dyDescent="0.25">
      <c r="A10" t="s">
        <v>46</v>
      </c>
      <c r="B10" s="18">
        <f>B6*Assumptions!B9</f>
        <v>109051567.01968737</v>
      </c>
      <c r="C10" s="18">
        <f>C6*Assumptions!B9</f>
        <v>135710419.13074753</v>
      </c>
      <c r="D10" s="18">
        <f>D6*Assumptions!B9</f>
        <v>168886320.15089008</v>
      </c>
      <c r="E10" s="18">
        <f>E6*Assumptions!B9</f>
        <v>210172434.1933497</v>
      </c>
      <c r="F10" s="18">
        <f>F6*Assumptions!B9</f>
        <v>261551391.8196121</v>
      </c>
    </row>
    <row r="11" spans="1:6" x14ac:dyDescent="0.25">
      <c r="A11" t="s">
        <v>47</v>
      </c>
      <c r="B11" s="18">
        <f>-B6*Assumptions!B10</f>
        <v>-109051567.01968737</v>
      </c>
      <c r="C11" s="18">
        <f>-C6*Assumptions!B10</f>
        <v>-135710419.13074753</v>
      </c>
      <c r="D11" s="18">
        <f>-D6*Assumptions!B10</f>
        <v>-168886320.15089008</v>
      </c>
      <c r="E11" s="18">
        <f>-E6*Assumptions!B10</f>
        <v>-210172434.1933497</v>
      </c>
      <c r="F11" s="18">
        <f>-F6*Assumptions!B10</f>
        <v>-261551391.8196121</v>
      </c>
    </row>
    <row r="12" spans="1:6" x14ac:dyDescent="0.25">
      <c r="A12" t="s">
        <v>48</v>
      </c>
      <c r="B12" s="18">
        <f>-(B6-Assumptions!B29)*Assumptions!B11</f>
        <v>5199049.324813646</v>
      </c>
      <c r="C12" s="18">
        <f>-(C6-B6)*Assumptions!B11</f>
        <v>6470013.97810737</v>
      </c>
      <c r="D12" s="18">
        <f>-(D6-C6)*Assumptions!B11</f>
        <v>8051679.886381002</v>
      </c>
      <c r="E12" s="18">
        <f>-(E6-D6)*Assumptions!B11</f>
        <v>10020001.380540527</v>
      </c>
      <c r="F12" s="18">
        <f>-(F6-E6)*Assumptions!B11</f>
        <v>12469500.661080204</v>
      </c>
    </row>
    <row r="13" spans="1:6" x14ac:dyDescent="0.25">
      <c r="A13" s="19" t="s">
        <v>49</v>
      </c>
      <c r="B13" s="20">
        <f>B9+B10+B11+B12</f>
        <v>233454475.86154637</v>
      </c>
      <c r="C13" s="20">
        <f>C9+C10+C11+C12</f>
        <v>290524984.03255194</v>
      </c>
      <c r="D13" s="20">
        <f>D9+D10+D11+D12</f>
        <v>361547004.1241448</v>
      </c>
      <c r="E13" s="20">
        <f>E9+E10+E11+E12</f>
        <v>449931136.30632955</v>
      </c>
      <c r="F13" s="20">
        <f>F9+F10+F11+F12</f>
        <v>559921739.3830031</v>
      </c>
    </row>
    <row r="14" spans="1:6" x14ac:dyDescent="0.25">
      <c r="A14" t="s">
        <v>50</v>
      </c>
      <c r="B14" s="21">
        <f>1/(1+Assumptions!$B$26)^(1-0.5*Assumptions!$B$32)</f>
        <v>0.9401852425382109</v>
      </c>
      <c r="C14" s="21">
        <f>1/(1+Assumptions!$B$26)^(2-0.5*Assumptions!$B$32)</f>
        <v>0.8310751376943764</v>
      </c>
      <c r="D14" s="21">
        <f>1/(1+Assumptions!$B$26)^(3-0.5*Assumptions!$B$32)</f>
        <v>0.7346274470646734</v>
      </c>
      <c r="E14" s="21">
        <f>1/(1+Assumptions!$B$26)^(4-0.5*Assumptions!$B$32)</f>
        <v>0.6493726758304531</v>
      </c>
      <c r="F14" s="21">
        <f>1/(1+Assumptions!$B$26)^(5-0.5*Assumptions!$B$32)</f>
        <v>0.574011866559186</v>
      </c>
    </row>
    <row r="15" spans="1:6" x14ac:dyDescent="0.25">
      <c r="A15" s="19" t="s">
        <v>51</v>
      </c>
      <c r="B15" s="20">
        <f>B13*B14</f>
        <v>219490453.00951886</v>
      </c>
      <c r="C15" s="20">
        <f>C13*C14</f>
        <v>241448091.1085096</v>
      </c>
      <c r="D15" s="20">
        <f>D13*D14</f>
        <v>265602352.63360146</v>
      </c>
      <c r="E15" s="20">
        <f>E13*E14</f>
        <v>292172985.9226776</v>
      </c>
      <c r="F15" s="20">
        <f>F13*F14</f>
        <v>321401722.7503037</v>
      </c>
    </row>
    <row r="17" spans="1:2" x14ac:dyDescent="0.25">
      <c r="A17" s="22" t="s">
        <v>52</v>
      </c>
      <c r="B17" s="23">
        <f>SUM(B15:F15)</f>
        <v>1340115605.4246113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559921739.3830031</v>
      </c>
    </row>
    <row r="5" spans="1:2" x14ac:dyDescent="0.25">
      <c r="A5" t="s">
        <v>56</v>
      </c>
      <c r="B5" s="18">
        <f>IF(Assumptions!$B$33=0,B4,B4-Forecast!F11-Forecast!F10-Forecast!F12)</f>
        <v>547452238.7219229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0.19042121233497697</v>
      </c>
    </row>
    <row r="7" spans="1:2" x14ac:dyDescent="0.25">
      <c r="A7" t="s">
        <v>58</v>
      </c>
      <c r="B7" s="18">
        <f>-MAX(Forecast!F9,0)*B6</f>
        <v>-104246518.99292578</v>
      </c>
    </row>
    <row r="8" spans="1:2" x14ac:dyDescent="0.25">
      <c r="A8" t="s">
        <v>59</v>
      </c>
      <c r="B8" s="18">
        <f>IF(OR(Assumptions!$B$33=0,Assumptions!B12&lt;=0),B5,MAX(B5+B7,0))</f>
        <v>443205719.7289971</v>
      </c>
    </row>
    <row r="9" spans="1:2" x14ac:dyDescent="0.25">
      <c r="A9" t="s">
        <v>60</v>
      </c>
      <c r="B9" s="18">
        <f>B8*(1+Assumptions!B12)/(Assumptions!B26-Assumptions!B12)</f>
        <v>4274107278.709955</v>
      </c>
    </row>
    <row r="10" spans="1:2" x14ac:dyDescent="0.25">
      <c r="A10" t="s">
        <v>61</v>
      </c>
      <c r="B10" s="18">
        <f>B9/(1+Assumptions!B26)^(5-0.5*Assumptions!B32)</f>
        <v>2453388296.9265046</v>
      </c>
    </row>
    <row r="11" spans="1:2" x14ac:dyDescent="0.25">
      <c r="A11" t="s">
        <v>62</v>
      </c>
      <c r="B11" s="18">
        <f>Forecast!B17+B10</f>
        <v>3793503902.351116</v>
      </c>
    </row>
    <row r="12" spans="1:2" x14ac:dyDescent="0.25">
      <c r="A12" t="s">
        <v>63</v>
      </c>
      <c r="B12" s="18">
        <f>-Assumptions!B30</f>
        <v>-2323289000</v>
      </c>
    </row>
    <row r="13" spans="1:2" x14ac:dyDescent="0.25">
      <c r="A13" t="s">
        <v>64</v>
      </c>
      <c r="B13" s="18">
        <f>B11+B12</f>
        <v>1470214902.3511162</v>
      </c>
    </row>
    <row r="14" spans="1:2" x14ac:dyDescent="0.25">
      <c r="A14" s="19" t="s">
        <v>65</v>
      </c>
      <c r="B14" s="24">
        <f>B13/Assumptions!B31</f>
        <v>1.1445096805201385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1043626018.5652163</v>
      </c>
    </row>
    <row r="18" spans="1:2" x14ac:dyDescent="0.25">
      <c r="A18" t="s">
        <v>60</v>
      </c>
      <c r="B18" s="18">
        <f>B17*Assumptions!B13</f>
        <v>12938419229.057775</v>
      </c>
    </row>
    <row r="19" spans="1:2" x14ac:dyDescent="0.25">
      <c r="A19" t="s">
        <v>61</v>
      </c>
      <c r="B19" s="18">
        <f>B18/(1+Assumptions!B26)^(5-0.5*Assumptions!B32)</f>
        <v>7426806171.996718</v>
      </c>
    </row>
    <row r="20" spans="1:2" x14ac:dyDescent="0.25">
      <c r="A20" t="s">
        <v>62</v>
      </c>
      <c r="B20" s="18">
        <f>Forecast!B17+B19</f>
        <v>8766921777.42133</v>
      </c>
    </row>
    <row r="21" spans="1:2" x14ac:dyDescent="0.25">
      <c r="A21" t="s">
        <v>63</v>
      </c>
      <c r="B21" s="18">
        <f>-Assumptions!B30</f>
        <v>-2323289000</v>
      </c>
    </row>
    <row r="22" spans="1:2" x14ac:dyDescent="0.25">
      <c r="A22" t="s">
        <v>64</v>
      </c>
      <c r="B22" s="18">
        <f>B20+B21</f>
        <v>6443632777.4213295</v>
      </c>
    </row>
    <row r="23" spans="1:2" x14ac:dyDescent="0.25">
      <c r="A23" s="19" t="s">
        <v>65</v>
      </c>
      <c r="B23" s="25">
        <f>B22/Assumptions!B31</f>
        <v>5.016137490976358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1.1445096805201385</v>
      </c>
    </row>
    <row r="29" spans="1:2" x14ac:dyDescent="0.25">
      <c r="A29" s="19" t="s">
        <v>73</v>
      </c>
      <c r="B29" s="12">
        <f>B28/B26-1</f>
        <v>-0.47499555939443194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0.111288</v>
      </c>
      <c r="B5" s="31">
        <v>1.703844224975238</v>
      </c>
      <c r="C5" s="31">
        <v>1.7157535388483853</v>
      </c>
      <c r="D5" s="31">
        <v>1.727662852721532</v>
      </c>
      <c r="E5" s="31">
        <v>1.7395721665946786</v>
      </c>
      <c r="F5" s="31">
        <v>1.751481480467826</v>
      </c>
    </row>
    <row r="6" spans="1:6" x14ac:dyDescent="0.25">
      <c r="A6" s="30">
        <v>0.121288</v>
      </c>
      <c r="B6" s="31">
        <v>1.3905525610175573</v>
      </c>
      <c r="C6" s="31">
        <v>1.4010482214363211</v>
      </c>
      <c r="D6" s="31">
        <v>1.4115438818550843</v>
      </c>
      <c r="E6" s="31">
        <v>1.4220395422738488</v>
      </c>
      <c r="F6" s="31">
        <v>1.432535202692612</v>
      </c>
    </row>
    <row r="7" spans="1:6" x14ac:dyDescent="0.25">
      <c r="A7" s="30">
        <v>0.131288</v>
      </c>
      <c r="B7" s="31">
        <v>1.1258741742063498</v>
      </c>
      <c r="C7" s="31">
        <v>1.1351906261026774</v>
      </c>
      <c r="D7" s="32">
        <v>1.1445070779990045</v>
      </c>
      <c r="E7" s="31">
        <v>1.1538235298953314</v>
      </c>
      <c r="F7" s="31">
        <v>1.1631399817916583</v>
      </c>
    </row>
    <row r="8" spans="1:6" x14ac:dyDescent="0.25">
      <c r="A8" s="30">
        <v>0.141288</v>
      </c>
      <c r="B8" s="31">
        <v>0.899451189155818</v>
      </c>
      <c r="C8" s="31">
        <v>0.907772102201009</v>
      </c>
      <c r="D8" s="31">
        <v>0.9160930152461996</v>
      </c>
      <c r="E8" s="31">
        <v>0.9244139282913906</v>
      </c>
      <c r="F8" s="31">
        <v>0.9327348413365815</v>
      </c>
    </row>
    <row r="9" spans="1:6" x14ac:dyDescent="0.25">
      <c r="A9" s="30">
        <v>0.151288</v>
      </c>
      <c r="B9" s="31">
        <v>0.7036660423419003</v>
      </c>
      <c r="C9" s="31">
        <v>0.7111377953609127</v>
      </c>
      <c r="D9" s="31">
        <v>0.7186095483799242</v>
      </c>
      <c r="E9" s="31">
        <v>0.7260813013989361</v>
      </c>
      <c r="F9" s="31">
        <v>0.733553054417948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1336001000</v>
      </c>
      <c r="C5" s="18">
        <v>1071595000</v>
      </c>
      <c r="D5" s="18">
        <v>867978000</v>
      </c>
      <c r="E5" s="18">
        <v>693207000</v>
      </c>
      <c r="F5" s="8" t="s">
        <v>84</v>
      </c>
    </row>
    <row r="6" spans="1:6" x14ac:dyDescent="0.25">
      <c r="A6" t="s">
        <v>44</v>
      </c>
      <c r="B6" s="18">
        <v>358892000</v>
      </c>
      <c r="C6" s="18">
        <v>268555000</v>
      </c>
      <c r="D6" s="18">
        <v>225727000</v>
      </c>
      <c r="E6" s="18">
        <v>3604000</v>
      </c>
      <c r="F6" s="8" t="s">
        <v>85</v>
      </c>
    </row>
    <row r="7" spans="1:6" x14ac:dyDescent="0.25">
      <c r="A7" t="s">
        <v>86</v>
      </c>
      <c r="B7" s="18">
        <v>47591000</v>
      </c>
      <c r="C7" s="18">
        <v>65388000</v>
      </c>
      <c r="D7" s="18">
        <v>64419000</v>
      </c>
      <c r="E7" s="18">
        <v>63432000</v>
      </c>
      <c r="F7" s="8" t="s">
        <v>87</v>
      </c>
    </row>
    <row r="8" spans="1:6" x14ac:dyDescent="0.25">
      <c r="A8" t="s">
        <v>88</v>
      </c>
      <c r="B8" s="18">
        <v>42936000</v>
      </c>
      <c r="C8" s="18">
        <v>19493000</v>
      </c>
      <c r="D8" s="18">
        <v>17482000</v>
      </c>
      <c r="E8" s="18">
        <v>24568000</v>
      </c>
      <c r="F8" s="8" t="s">
        <v>89</v>
      </c>
    </row>
    <row r="9" spans="1:6" x14ac:dyDescent="0.25">
      <c r="A9" t="s">
        <v>90</v>
      </c>
      <c r="B9" s="18">
        <v>-4209000</v>
      </c>
      <c r="C9" s="18">
        <v>-6394000</v>
      </c>
      <c r="D9" s="18">
        <v>18391000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2755419000</v>
      </c>
      <c r="C10" s="18">
        <v>2423997000</v>
      </c>
      <c r="D10" s="18">
        <v>2420234000</v>
      </c>
      <c r="E10" s="18">
        <v>2936093000</v>
      </c>
      <c r="F10" s="8" t="s">
        <v>93</v>
      </c>
    </row>
    <row r="11" spans="1:6" x14ac:dyDescent="0.25">
      <c r="A11" t="s">
        <v>94</v>
      </c>
      <c r="B11" s="18">
        <v>432130000</v>
      </c>
      <c r="C11" s="18">
        <v>396233000</v>
      </c>
      <c r="D11" s="18">
        <v>357516000</v>
      </c>
      <c r="E11" s="18">
        <v>283106000</v>
      </c>
      <c r="F11" s="8" t="s">
        <v>95</v>
      </c>
    </row>
    <row r="12" spans="1:6" x14ac:dyDescent="0.25">
      <c r="A12" t="s">
        <v>32</v>
      </c>
      <c r="B12" s="34">
        <v>1284580574</v>
      </c>
      <c r="C12" s="34">
        <v>1309754098</v>
      </c>
      <c r="D12" s="34">
        <v>988378378</v>
      </c>
      <c r="E12" s="34">
        <v>720403000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2026-09-19T00:06:19Z</dcterms:modified>
</cp:coreProperties>
</file>