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<sst xmlns="http://schemas.openxmlformats.org/spreadsheetml/2006/main" count="120" uniqueCount="107">
  <si>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Zoetis Inc. (ZTS)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</si>
  <si>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</si>
  <si>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</si>
  <si>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</si>
  <si>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</si>
  <si>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</si>
  <si>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</si>
  <si>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</si>
  <si>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</si>
  <si>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</si>
  <si>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</si>
  <si>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</si>
  <si>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</si>
  <si>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</si>
  <si>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</si>
  <si>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</si>
  <si>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</si>
  <si>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</si>
  <si>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</si>
  <si>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</si>
  <si>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</si>
  <si>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</si>
  <si>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</si>
  <si>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</si>
  <si>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16.2x interest cover. Book interest / average debt was lower, at 2.8%.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</si>
  <si>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</si>
  <si>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</si>
  <si>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</si>
  <si>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</si>
  <si>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</si>
  <si>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</si>
  <si>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</si>
  <si>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</si>
  <si>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</si>
  <si>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</si>
  <si>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</si>
  <si>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</si>
  <si>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</si>
  <si>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</si>
  <si>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</si>
  <si>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</si>
  <si>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</si>
  <si>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</si>
  <si>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</si>
  <si>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</si>
  <si>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</si>
  <si>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</si>
  <si>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</si>
  <si>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</si>
  <si>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</si>
  <si>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</si>
  <si>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</si>
  <si>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</si>
  <si>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</si>
  <si>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</si>
  <si>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</si>
  <si>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</si>
  <si>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</si>
  <si>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</si>
  <si>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</si>
  <si>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</si>
  <si>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</si>
  <si>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</si>
  <si>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</si>
  <si>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</si>
  <si>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</si>
  <si>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</si>
  <si>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</si>
  <si>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</si>
  <si>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</si>
  <si>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</si>
  <si>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</si>
  <si>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</si>
  <si>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</si>
  <si>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</si>
  <si>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</si>
  <si>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</si>
  <si>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</si>
  <si>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</si>
  <si>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</si>
  <si>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</si>
  <si>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</si>
  <si>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</si>
  <si>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</si>
  <si>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</si>
  <si>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</si>
  <si>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</si>
  <si>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</si>
  <si>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</si>
  <si>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</si>
  <si>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</si>
  <si>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</si>
  <si>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</si>
  <si>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</si>
  <si>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</si>
  <si>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</si>
  <si>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</si>
  <si>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</si>
  <si>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</si>
  <si>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</si>
  <si>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</si>
  <si>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</si>
  <si>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</si>
  <si>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</si>
  <si>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</si>
  <si>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7.4% of revenue against depreciation of 5.5%.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</si>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</sst>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-0.02279352804478718</v>
      </c>
    </row>
    <row r="7" spans="1:2" x14ac:dyDescent="0.25">
      <c r="A7" t="s">
        <v>4</v>
      </c>
      <c r="B7" s="5">
        <v>0.3669980204165256</v>
      </c>
    </row>
    <row r="8" spans="1:2" x14ac:dyDescent="0.25">
      <c r="A8" t="s">
        <v>5</v>
      </c>
      <c r="B8" s="5">
        <v>0.20389189389448725</v>
      </c>
    </row>
    <row r="9" spans="1:2" x14ac:dyDescent="0.25">
      <c r="A9" t="s">
        <v>6</v>
      </c>
      <c r="B9" s="5">
        <v>0.05503837116474737</v>
      </c>
    </row>
    <row r="10" spans="1:3" x14ac:dyDescent="0.25">
      <c r="A10" t="s">
        <v>7</v>
      </c>
      <c r="B10" s="5">
        <v>0.07364002521193407</v>
      </c>
      <c r="C10" s="6" t="s">
        <v>8</v>
      </c>
    </row>
    <row r="11" spans="1:2" x14ac:dyDescent="0.25">
      <c r="A11" t="s">
        <v>9</v>
      </c>
      <c r="B11" s="5">
        <v>0.38183069092533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9.762533422135162</v>
      </c>
    </row>
    <row r="14" spans="1:3" x14ac:dyDescent="0.25">
      <c r="A14" t="s">
        <v>12</v>
      </c>
      <c r="B14" s="5">
        <v>0.2213603461067967</v>
      </c>
      <c r="C14" s="6" t="s">
        <v>13</v>
      </c>
    </row>
    <row r="15" spans="1:3" x14ac:dyDescent="0.25">
      <c r="A15" t="s">
        <v>14</v>
      </c>
      <c r="B15" s="5">
        <v>0.034857927537762755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0.8258</v>
      </c>
      <c r="C19" s="6" t="s">
        <v>21</v>
      </c>
    </row>
    <row r="20" spans="1:2" x14ac:dyDescent="0.25">
      <c r="A20" t="s">
        <v>22</v>
      </c>
      <c r="B20" s="9">
        <f>B17+B19*B18</f>
        <v>0.08387134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32942186496</v>
      </c>
    </row>
    <row r="23" spans="1:2" x14ac:dyDescent="0.25">
      <c r="A23" t="s">
        <v>26</v>
      </c>
      <c r="B23" s="10">
        <v>9238000000</v>
      </c>
    </row>
    <row r="24" spans="1:2" x14ac:dyDescent="0.25">
      <c r="A24" t="s">
        <v>27</v>
      </c>
      <c r="B24" s="9">
        <f>B22/(B22+B23)</f>
        <v>0.7809872177574168</v>
      </c>
    </row>
    <row r="25" spans="1:2" x14ac:dyDescent="0.25">
      <c r="A25" t="s">
        <v>28</v>
      </c>
      <c r="B25" s="9">
        <f>1-B24</f>
        <v>0.21901278224258325</v>
      </c>
    </row>
    <row r="26" spans="1:2" x14ac:dyDescent="0.25">
      <c r="A26" t="s">
        <v>29</v>
      </c>
      <c r="B26" s="11">
        <f>B24*B20+B25*B21*(1-B8)</f>
        <v>0.07473294912316351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9467000000</v>
      </c>
      <c r="C29" s="6" t="s">
        <v>32</v>
      </c>
    </row>
    <row r="30" spans="1:2" x14ac:dyDescent="0.25">
      <c r="A30" t="s">
        <v>33</v>
      </c>
      <c r="B30" s="10">
        <v>6928000000</v>
      </c>
    </row>
    <row r="31" spans="1:2" x14ac:dyDescent="0.25">
      <c r="A31" t="s">
        <v>34</v>
      </c>
      <c r="B31" s="12">
        <v>443800000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-0.02279352804478718</v>
      </c>
      <c r="C5" s="5">
        <v>0.011974192138619166</v>
      </c>
      <c r="D5" s="5">
        <v>0.01360241812129177</v>
      </c>
      <c r="E5" s="5">
        <v>0.015230644103964375</v>
      </c>
      <c r="F5" s="5">
        <v>0.01685887008663698</v>
      </c>
      <c r="G5" s="5">
        <v>0.018487096069309584</v>
      </c>
      <c r="H5" s="5">
        <v>0.020115322051982187</v>
      </c>
      <c r="I5" s="5">
        <v>0.021743548034654794</v>
      </c>
      <c r="J5" s="5">
        <v>0.023371774017327398</v>
      </c>
      <c r="K5" s="5">
        <v>0.025</v>
      </c>
    </row>
    <row r="6" spans="1:11" x14ac:dyDescent="0.25">
      <c r="A6" t="s">
        <v>50</v>
      </c>
      <c r="B6" s="18">
        <f>Assumptions!B29*(1+B5)</f>
        <v>9251213670</v>
      </c>
      <c r="C6" s="18">
        <f>B6*(1+C5)</f>
        <v>9361989480</v>
      </c>
      <c r="D6" s="18">
        <f>C6*(1+D5)</f>
        <v>9489335175.354094</v>
      </c>
      <c r="E6" s="18">
        <f>D6*(1+E5)</f>
        <v>9633863862.193144</v>
      </c>
      <c r="F6" s="18">
        <f>E6*(1+F5)</f>
        <v>9796279921.478205</v>
      </c>
      <c r="G6" s="18">
        <f>F6*(1+G5)</f>
        <v>9977384689.50842</v>
      </c>
      <c r="H6" s="18">
        <f>G6*(1+H5)</f>
        <v>10178082995.774399</v>
      </c>
      <c r="I6" s="18">
        <f>H6*(1+I5)</f>
        <v>10399390632.293722</v>
      </c>
      <c r="J6" s="18">
        <f>I6*(1+J5)</f>
        <v>10642442840.069603</v>
      </c>
      <c r="K6" s="18">
        <f>J6*(1+K5)</f>
        <v>10908503911.071342</v>
      </c>
    </row>
    <row r="7" spans="1:11" x14ac:dyDescent="0.25">
      <c r="A7" t="s">
        <v>4</v>
      </c>
      <c r="B7" s="9">
        <f>Assumptions!B7</f>
        <v>0.3669980204165256</v>
      </c>
      <c r="C7" s="9">
        <f>Assumptions!B7</f>
        <v>0.3669980204165256</v>
      </c>
      <c r="D7" s="9">
        <f>Assumptions!B7</f>
        <v>0.3669980204165256</v>
      </c>
      <c r="E7" s="9">
        <f>Assumptions!B7</f>
        <v>0.3669980204165256</v>
      </c>
      <c r="F7" s="9">
        <f>Assumptions!B7</f>
        <v>0.3669980204165256</v>
      </c>
      <c r="G7" s="9">
        <f>Assumptions!B7</f>
        <v>0.3669980204165256</v>
      </c>
      <c r="H7" s="9">
        <f>Assumptions!B7</f>
        <v>0.3669980204165256</v>
      </c>
      <c r="I7" s="9">
        <f>Assumptions!B7</f>
        <v>0.3669980204165256</v>
      </c>
      <c r="J7" s="9">
        <f>Assumptions!B7</f>
        <v>0.3669980204165256</v>
      </c>
      <c r="K7" s="9">
        <f>Assumptions!B7</f>
        <v>0.3669980204165256</v>
      </c>
    </row>
    <row r="8" spans="1:11" x14ac:dyDescent="0.25">
      <c r="A8" t="s">
        <v>51</v>
      </c>
      <c r="B8" s="18">
        <f>B6*B7</f>
        <v>3395177103.340301</v>
      </c>
      <c r="C8" s="18">
        <f>C6*C7</f>
        <v>3435831606.3203382</v>
      </c>
      <c r="D8" s="18">
        <f>D6*D7</f>
        <v>3482567224.4238563</v>
      </c>
      <c r="E8" s="18">
        <f>E6*E7</f>
        <v>3535608966.387188</v>
      </c>
      <c r="F8" s="18">
        <f>F6*F7</f>
        <v>3595215338.6286583</v>
      </c>
      <c r="G8" s="18">
        <f>G6*G7</f>
        <v>3661680429.9837418</v>
      </c>
      <c r="H8" s="18">
        <f>H6*H7</f>
        <v>3735336311.0843053</v>
      </c>
      <c r="I8" s="18">
        <f>I6*I7</f>
        <v>3816555775.5899568</v>
      </c>
      <c r="J8" s="18">
        <f>J6*J7</f>
        <v>3905755454.701571</v>
      </c>
      <c r="K8" s="18">
        <f>K6*K7</f>
        <v>4003399341.0691104</v>
      </c>
    </row>
    <row r="9" spans="1:11" x14ac:dyDescent="0.25">
      <c r="A9" t="s">
        <v>52</v>
      </c>
      <c r="B9" s="18">
        <f>B8*(1-Assumptions!B8)</f>
        <v>2702928013.6330476</v>
      </c>
      <c r="C9" s="18">
        <f>C8*(1-Assumptions!B8)</f>
        <v>2735293393.005146</v>
      </c>
      <c r="D9" s="18">
        <f>D8*(1-Assumptions!B8)</f>
        <v>2772499997.4212084</v>
      </c>
      <c r="E9" s="18">
        <f>E8*(1-Assumptions!B8)</f>
        <v>2814726958.160174</v>
      </c>
      <c r="F9" s="18">
        <f>F8*(1-Assumptions!B8)</f>
        <v>2862180074.2771506</v>
      </c>
      <c r="G9" s="18">
        <f>G8*(1-Assumptions!B8)</f>
        <v>2915093472.277976</v>
      </c>
      <c r="H9" s="18">
        <f>H8*(1-Assumptions!B8)</f>
        <v>2973731516.2844787</v>
      </c>
      <c r="I9" s="18">
        <f>I8*(1-Assumptions!B8)</f>
        <v>3038390990.350977</v>
      </c>
      <c r="J9" s="18">
        <f>J8*(1-Assumptions!B8)</f>
        <v>3109403577.9537435</v>
      </c>
      <c r="K9" s="18">
        <f>K8*(1-Assumptions!B8)</f>
        <v>3187138667.402587</v>
      </c>
    </row>
    <row r="10" spans="1:11" x14ac:dyDescent="0.25">
      <c r="A10" t="s">
        <v>53</v>
      </c>
      <c r="B10" s="18">
        <f>B6*Assumptions!B9</f>
        <v>509171731.6938447</v>
      </c>
      <c r="C10" s="18">
        <f>C6*Assumptions!B9</f>
        <v>515268651.8407002</v>
      </c>
      <c r="D10" s="18">
        <f>D6*Assumptions!B9</f>
        <v>522277551.48783165</v>
      </c>
      <c r="E10" s="18">
        <f>E6*Assumptions!B9</f>
        <v>530232174.99803287</v>
      </c>
      <c r="F10" s="18">
        <f>F6*Assumptions!B9</f>
        <v>539171290.3520796</v>
      </c>
      <c r="G10" s="18">
        <f>G6*Assumptions!B9</f>
        <v>549139001.7946322</v>
      </c>
      <c r="H10" s="18">
        <f>H6*Assumptions!B9</f>
        <v>560185109.6670352</v>
      </c>
      <c r="I10" s="18">
        <f>I6*Assumptions!B9</f>
        <v>572365521.5073787</v>
      </c>
      <c r="J10" s="18">
        <f>J6*Assumptions!B9</f>
        <v>585742719.131359</v>
      </c>
      <c r="K10" s="18">
        <f>K6*Assumptions!B9</f>
        <v>600386287.1096429</v>
      </c>
    </row>
    <row r="11" spans="1:11" x14ac:dyDescent="0.25">
      <c r="A11" t="s">
        <v>54</v>
      </c>
      <c r="B11" s="18">
        <f>-B6*B19</f>
        <v>-681259607.8997891</v>
      </c>
      <c r="C11" s="18">
        <f>-C6*C19</f>
        <v>-685286899.1644676</v>
      </c>
      <c r="D11" s="18">
        <f>-D6*D19</f>
        <v>-690422034.6423239</v>
      </c>
      <c r="E11" s="18">
        <f>-E6*E19</f>
        <v>-696687421.5501225</v>
      </c>
      <c r="F11" s="18">
        <f>-F6*F19</f>
        <v>-704110945.574434</v>
      </c>
      <c r="G11" s="18">
        <f>-G6*G19</f>
        <v>-712726175.3147599</v>
      </c>
      <c r="H11" s="18">
        <f>-H6*H19</f>
        <v>-722572612.5557157</v>
      </c>
      <c r="I11" s="18">
        <f>-I6*I19</f>
        <v>-733695990.9510946</v>
      </c>
      <c r="J11" s="18">
        <f>-J6*J19</f>
        <v>-746148626.2475556</v>
      </c>
      <c r="K11" s="18">
        <f>-K6*K19</f>
        <v>-759989821.7622406</v>
      </c>
    </row>
    <row r="12" spans="1:11" x14ac:dyDescent="0.25">
      <c r="A12" t="s">
        <v>55</v>
      </c>
      <c r="B12" s="18">
        <f>-(B6-Assumptions!B29)*Assumptions!B11</f>
        <v>82393843.47614126</v>
      </c>
      <c r="C12" s="18">
        <f>-(C6-B6)*Assumptions!B11</f>
        <v>-42297604.07011308</v>
      </c>
      <c r="D12" s="18">
        <f>-(D6-C6)*Assumptions!B11</f>
        <v>-48624494.843420126</v>
      </c>
      <c r="E12" s="18">
        <f>-(E6-D6)*Assumptions!B11</f>
        <v>-55185488.354285225</v>
      </c>
      <c r="F12" s="18">
        <f>-(F6-E6)*Assumptions!B11</f>
        <v>-62015436.13418416</v>
      </c>
      <c r="G12" s="18">
        <f>-(G6-F6)*Assumptions!B11</f>
        <v>-69151358.70684907</v>
      </c>
      <c r="H12" s="18">
        <f>-(H6-G6)*Assumptions!B11</f>
        <v>-76632772.94908181</v>
      </c>
      <c r="I12" s="18">
        <f>-(I6-H6)*Assumptions!B11</f>
        <v>-84502047.75922503</v>
      </c>
      <c r="J12" s="18">
        <f>-(J6-I6)*Assumptions!B11</f>
        <v>-92804792.42599143</v>
      </c>
      <c r="K12" s="18">
        <f>-(K6-J6)*Assumptions!B11</f>
        <v>-101590282.56892748</v>
      </c>
    </row>
    <row r="13" spans="1:11" x14ac:dyDescent="0.25">
      <c r="A13" s="19" t="s">
        <v>56</v>
      </c>
      <c r="B13" s="20">
        <f>B9+B10+B11+B12</f>
        <v>2613233980.9032445</v>
      </c>
      <c r="C13" s="20">
        <f>C9+C10+C11+C12</f>
        <v>2522977541.611265</v>
      </c>
      <c r="D13" s="20">
        <f>D9+D10+D11+D12</f>
        <v>2555731019.423296</v>
      </c>
      <c r="E13" s="20">
        <f>E9+E10+E11+E12</f>
        <v>2593086223.2537994</v>
      </c>
      <c r="F13" s="20">
        <f>F9+F10+F11+F12</f>
        <v>2635224982.920612</v>
      </c>
      <c r="G13" s="20">
        <f>G9+G10+G11+G12</f>
        <v>2682354940.050999</v>
      </c>
      <c r="H13" s="20">
        <f>H9+H10+H11+H12</f>
        <v>2734711240.4467163</v>
      </c>
      <c r="I13" s="20">
        <f>I9+I10+I11+I12</f>
        <v>2792558473.148036</v>
      </c>
      <c r="J13" s="20">
        <f>J9+J10+J11+J12</f>
        <v>2856192878.4115553</v>
      </c>
      <c r="K13" s="20">
        <f>K9+K10+K11+K12</f>
        <v>2925944850.181062</v>
      </c>
    </row>
    <row r="14" spans="1:11" x14ac:dyDescent="0.25">
      <c r="A14" t="s">
        <v>57</v>
      </c>
      <c r="B14" s="21">
        <f>1/(1+Assumptions!$B$26)^(1-0.5*Assumptions!$B$32)</f>
        <v>0.9646054651479817</v>
      </c>
      <c r="C14" s="21">
        <f>1/(1+Assumptions!$B$26)^(2-0.5*Assumptions!$B$32)</f>
        <v>0.8975303734150603</v>
      </c>
      <c r="D14" s="21">
        <f>1/(1+Assumptions!$B$26)^(3-0.5*Assumptions!$B$32)</f>
        <v>0.835119435155797</v>
      </c>
      <c r="E14" s="21">
        <f>1/(1+Assumptions!$B$26)^(4-0.5*Assumptions!$B$32)</f>
        <v>0.7770483224108291</v>
      </c>
      <c r="F14" s="21">
        <f>1/(1+Assumptions!$B$26)^(5-0.5*Assumptions!$B$32)</f>
        <v>0.7230152597859731</v>
      </c>
      <c r="G14" s="21">
        <f>1/(1+Assumptions!$B$26)^(6-0.5*Assumptions!$B$32)</f>
        <v>0.6727394562303647</v>
      </c>
      <c r="H14" s="21">
        <f>1/(1+Assumptions!$B$26)^(7-0.5*Assumptions!$B$32)</f>
        <v>0.6259596458629365</v>
      </c>
      <c r="I14" s="21">
        <f>1/(1+Assumptions!$B$26)^(8-0.5*Assumptions!$B$32)</f>
        <v>0.5824327302644204</v>
      </c>
      <c r="J14" s="21">
        <f>1/(1+Assumptions!$B$26)^(9-0.5*Assumptions!$B$32)</f>
        <v>0.5419325151793352</v>
      </c>
      <c r="K14" s="21">
        <f>1/(1+Assumptions!$B$26)^(10-0.5*Assumptions!$B$32)</f>
        <v>0.5042485350630393</v>
      </c>
    </row>
    <row r="15" spans="1:11" x14ac:dyDescent="0.25">
      <c r="A15" s="19" t="s">
        <v>58</v>
      </c>
      <c r="B15" s="20">
        <f>B13*B14</f>
        <v>2520739779.6896863</v>
      </c>
      <c r="C15" s="20">
        <f>C13*C14</f>
        <v>2264448975.0401697</v>
      </c>
      <c r="D15" s="20">
        <f>D13*D14</f>
        <v>2134340645.3509321</v>
      </c>
      <c r="E15" s="20">
        <f>E13*E14</f>
        <v>2014953299.6459975</v>
      </c>
      <c r="F15" s="20">
        <f>F13*F14</f>
        <v>1905307875.620833</v>
      </c>
      <c r="G15" s="20">
        <f>G13*G14</f>
        <v>1804526003.7867417</v>
      </c>
      <c r="H15" s="20">
        <f>H13*H14</f>
        <v>1711818879.6074183</v>
      </c>
      <c r="I15" s="20">
        <f>I13*I14</f>
        <v>1626477455.9386518</v>
      </c>
      <c r="J15" s="20">
        <f>J13*J14</f>
        <v>1547863790.434879</v>
      </c>
      <c r="K15" s="20">
        <f>K13*K14</f>
        <v>1475403404.3790448</v>
      </c>
    </row>
    <row r="17" spans="1:2" x14ac:dyDescent="0.25">
      <c r="A17" s="22" t="s">
        <v>59</v>
      </c>
      <c r="B17" s="23">
        <f>SUM(B15:K15)</f>
        <v>19005880109.49435</v>
      </c>
    </row>
    <row r="19" spans="1:11" x14ac:dyDescent="0.25">
      <c r="A19" t="s">
        <v>7</v>
      </c>
      <c r="B19" s="9">
        <f>Assumptions!$B$10+($B$20-Assumptions!$B$10)*0/9</f>
        <v>0.07364002521193407</v>
      </c>
      <c r="C19" s="9">
        <f>Assumptions!$B$10+($B$20-Assumptions!$B$10)*1/9</f>
        <v>0.07319885379367758</v>
      </c>
      <c r="D19" s="9">
        <f>Assumptions!$B$10+($B$20-Assumptions!$B$10)*2/9</f>
        <v>0.07275768237542109</v>
      </c>
      <c r="E19" s="9">
        <f>Assumptions!$B$10+($B$20-Assumptions!$B$10)*3/9</f>
        <v>0.0723165109571646</v>
      </c>
      <c r="F19" s="9">
        <f>Assumptions!$B$10+($B$20-Assumptions!$B$10)*4/9</f>
        <v>0.07187533953890811</v>
      </c>
      <c r="G19" s="9">
        <f>Assumptions!$B$10+($B$20-Assumptions!$B$10)*5/9</f>
        <v>0.0714341681206516</v>
      </c>
      <c r="H19" s="9">
        <f>Assumptions!$B$10+($B$20-Assumptions!$B$10)*6/9</f>
        <v>0.07099299670239512</v>
      </c>
      <c r="I19" s="9">
        <f>Assumptions!$B$10+($B$20-Assumptions!$B$10)*7/9</f>
        <v>0.07055182528413863</v>
      </c>
      <c r="J19" s="9">
        <f>Assumptions!$B$10+($B$20-Assumptions!$B$10)*8/9</f>
        <v>0.07011065386588214</v>
      </c>
      <c r="K19" s="9">
        <f>Assumptions!$B$10+($B$20-Assumptions!$B$10)*9/9</f>
        <v>0.06966948244762565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0.06966948244762565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2925944850.181062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3362392670.505664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0.11293802363291659</v>
      </c>
    </row>
    <row r="7" spans="1:2" x14ac:dyDescent="0.25">
      <c r="A7" t="s">
        <v>66</v>
      </c>
      <c r="B7" s="18">
        <f>-MAX(B5,0)*B6</f>
        <v>-379741982.8847142</v>
      </c>
    </row>
    <row r="8" spans="1:2" x14ac:dyDescent="0.25">
      <c r="A8" t="s">
        <v>67</v>
      </c>
      <c r="B8" s="18">
        <f>IF(OR(Assumptions!$B$33=0,Assumptions!B12&lt;=0),B5,MAX(B5+B7,0))</f>
        <v>2982650687.6209497</v>
      </c>
    </row>
    <row r="9" spans="1:2" x14ac:dyDescent="0.25">
      <c r="A9" t="s">
        <v>68</v>
      </c>
      <c r="B9" s="18">
        <f>B8*(1+Assumptions!B12)/(Assumptions!B26-Assumptions!B12)</f>
        <v>61472665681.664764</v>
      </c>
    </row>
    <row r="10" spans="1:2" x14ac:dyDescent="0.25">
      <c r="A10" t="s">
        <v>69</v>
      </c>
      <c r="B10" s="18">
        <f>B9/(1+Assumptions!B26)^(10-0.5*Assumptions!B32)</f>
        <v>30997501616.39943</v>
      </c>
    </row>
    <row r="11" spans="1:2" x14ac:dyDescent="0.25">
      <c r="A11" t="s">
        <v>70</v>
      </c>
      <c r="B11" s="18">
        <f>Forecast!B17+B10</f>
        <v>50003381725.89378</v>
      </c>
    </row>
    <row r="12" spans="1:2" x14ac:dyDescent="0.25">
      <c r="A12" t="s">
        <v>71</v>
      </c>
      <c r="B12" s="18">
        <f>-Assumptions!B30</f>
        <v>-6928000000</v>
      </c>
    </row>
    <row r="13" spans="1:2" x14ac:dyDescent="0.25">
      <c r="A13" t="s">
        <v>72</v>
      </c>
      <c r="B13" s="18">
        <f>B11+B12</f>
        <v>43075381725.89378</v>
      </c>
    </row>
    <row r="14" spans="1:2" x14ac:dyDescent="0.25">
      <c r="A14" s="19" t="s">
        <v>73</v>
      </c>
      <c r="B14" s="24">
        <f>B13/Assumptions!B31</f>
        <v>97.06034638552002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4603785628.178753</v>
      </c>
    </row>
    <row r="18" spans="1:2" x14ac:dyDescent="0.25">
      <c r="A18" t="s">
        <v>68</v>
      </c>
      <c r="B18" s="18">
        <f>B17*Assumptions!B13</f>
        <v>44944611063.4406</v>
      </c>
    </row>
    <row r="19" spans="1:2" x14ac:dyDescent="0.25">
      <c r="A19" t="s">
        <v>69</v>
      </c>
      <c r="B19" s="18">
        <f>B18/(1+Assumptions!B26)^(10-0.5*Assumptions!B32)</f>
        <v>22663254287.71799</v>
      </c>
    </row>
    <row r="20" spans="1:2" x14ac:dyDescent="0.25">
      <c r="A20" t="s">
        <v>70</v>
      </c>
      <c r="B20" s="18">
        <f>Forecast!B17+B19</f>
        <v>41669134397.21234</v>
      </c>
    </row>
    <row r="21" spans="1:2" x14ac:dyDescent="0.25">
      <c r="A21" t="s">
        <v>71</v>
      </c>
      <c r="B21" s="18">
        <f>-Assumptions!B30</f>
        <v>-6928000000</v>
      </c>
    </row>
    <row r="22" spans="1:2" x14ac:dyDescent="0.25">
      <c r="A22" t="s">
        <v>72</v>
      </c>
      <c r="B22" s="18">
        <f>B20+B21</f>
        <v>34741134397.21234</v>
      </c>
    </row>
    <row r="23" spans="1:2" x14ac:dyDescent="0.25">
      <c r="A23" s="19" t="s">
        <v>73</v>
      </c>
      <c r="B23" s="25">
        <f>B22/Assumptions!B31</f>
        <v>78.28105993062718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79.72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97.06034638552002</v>
      </c>
    </row>
    <row r="29" spans="1:2" x14ac:dyDescent="0.25">
      <c r="A29" s="19" t="s">
        <v>81</v>
      </c>
      <c r="B29" s="11">
        <f>B28/B26-1</f>
        <v>0.21751563453988987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0.054733</v>
      </c>
      <c r="B5" s="31">
        <v>140.9631508677214</v>
      </c>
      <c r="C5" s="31">
        <v>153.6402721771968</v>
      </c>
      <c r="D5" s="31">
        <v>170.7354743812871</v>
      </c>
      <c r="E5" s="31">
        <v>194.9282227053682</v>
      </c>
      <c r="F5" s="31">
        <v>231.6137024633743</v>
      </c>
    </row>
    <row r="6" spans="1:6" x14ac:dyDescent="0.25">
      <c r="A6" s="30">
        <v>0.064733</v>
      </c>
      <c r="B6" s="31">
        <v>109.5752081555083</v>
      </c>
      <c r="C6" s="31">
        <v>116.2107353073463</v>
      </c>
      <c r="D6" s="31">
        <v>124.62547891419464</v>
      </c>
      <c r="E6" s="31">
        <v>135.58782197853392</v>
      </c>
      <c r="F6" s="31">
        <v>150.38300285042519</v>
      </c>
    </row>
    <row r="7" spans="1:6" x14ac:dyDescent="0.25">
      <c r="A7" s="30">
        <v>0.074733</v>
      </c>
      <c r="B7" s="31">
        <v>88.72569019443401</v>
      </c>
      <c r="C7" s="31">
        <v>92.4747920639098</v>
      </c>
      <c r="D7" s="32">
        <v>97.06023434448214</v>
      </c>
      <c r="E7" s="31">
        <v>102.76246114154185</v>
      </c>
      <c r="F7" s="31">
        <v>110.00308088504165</v>
      </c>
    </row>
    <row r="8" spans="1:6" x14ac:dyDescent="0.25">
      <c r="A8" s="30">
        <v>0.084733</v>
      </c>
      <c r="B8" s="31">
        <v>73.87850316147318</v>
      </c>
      <c r="C8" s="31">
        <v>76.08471997799064</v>
      </c>
      <c r="D8" s="31">
        <v>78.72529325574347</v>
      </c>
      <c r="E8" s="31">
        <v>81.9192617267312</v>
      </c>
      <c r="F8" s="31">
        <v>85.83353524755859</v>
      </c>
    </row>
    <row r="9" spans="1:6" x14ac:dyDescent="0.25">
      <c r="A9" s="30">
        <v>0.094733</v>
      </c>
      <c r="B9" s="31">
        <v>62.77339759206159</v>
      </c>
      <c r="C9" s="31">
        <v>64.09048543893293</v>
      </c>
      <c r="D9" s="31">
        <v>65.6492029009854</v>
      </c>
      <c r="E9" s="31">
        <v>67.50554065110181</v>
      </c>
      <c r="F9" s="31">
        <v>69.73423634386096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9467000000</v>
      </c>
      <c r="C5" s="18">
        <v>9256000000</v>
      </c>
      <c r="D5" s="18">
        <v>8544000000</v>
      </c>
      <c r="E5" s="18">
        <v>8080000000</v>
      </c>
      <c r="F5" s="6" t="s">
        <v>91</v>
      </c>
    </row>
    <row r="6" spans="1:6" x14ac:dyDescent="0.25">
      <c r="A6" t="s">
        <v>51</v>
      </c>
      <c r="B6" s="18">
        <v>3597000000</v>
      </c>
      <c r="C6" s="18">
        <v>3392000000</v>
      </c>
      <c r="D6" s="18">
        <v>3069000000</v>
      </c>
      <c r="E6" s="18">
        <v>2928000000</v>
      </c>
      <c r="F6" s="6" t="s">
        <v>92</v>
      </c>
    </row>
    <row r="7" spans="1:6" x14ac:dyDescent="0.25">
      <c r="A7" t="s">
        <v>93</v>
      </c>
      <c r="B7" s="18">
        <v>487000000</v>
      </c>
      <c r="C7" s="18">
        <v>497000000</v>
      </c>
      <c r="D7" s="18">
        <v>491000000</v>
      </c>
      <c r="E7" s="18">
        <v>465000000</v>
      </c>
      <c r="F7" s="6" t="s">
        <v>94</v>
      </c>
    </row>
    <row r="8" spans="1:6" x14ac:dyDescent="0.25">
      <c r="A8" t="s">
        <v>95</v>
      </c>
      <c r="B8" s="18">
        <v>621000000</v>
      </c>
      <c r="C8" s="18">
        <v>655000000</v>
      </c>
      <c r="D8" s="18">
        <v>732000000</v>
      </c>
      <c r="E8" s="18">
        <v>586000000</v>
      </c>
      <c r="F8" s="6" t="s">
        <v>96</v>
      </c>
    </row>
    <row r="9" spans="1:6" x14ac:dyDescent="0.25">
      <c r="A9" t="s">
        <v>97</v>
      </c>
      <c r="B9" s="18">
        <v>408000000</v>
      </c>
      <c r="C9" s="18">
        <v>-79000000</v>
      </c>
      <c r="D9" s="18">
        <v>512000000</v>
      </c>
      <c r="E9" s="18">
        <v>699000000</v>
      </c>
      <c r="F9" s="6" t="s">
        <v>98</v>
      </c>
    </row>
    <row r="10" spans="1:6" x14ac:dyDescent="0.25">
      <c r="A10" t="s">
        <v>99</v>
      </c>
      <c r="B10" s="18">
        <v>9238000000</v>
      </c>
      <c r="C10" s="18">
        <v>6744000000</v>
      </c>
      <c r="D10" s="18">
        <v>6755000000</v>
      </c>
      <c r="E10" s="18">
        <v>8090000000</v>
      </c>
      <c r="F10" s="6" t="s">
        <v>100</v>
      </c>
    </row>
    <row r="11" spans="1:6" x14ac:dyDescent="0.25">
      <c r="A11" t="s">
        <v>101</v>
      </c>
      <c r="B11" s="18">
        <v>2310000000</v>
      </c>
      <c r="C11" s="18">
        <v>1985000000</v>
      </c>
      <c r="D11" s="18">
        <v>2039000000</v>
      </c>
      <c r="E11" s="18">
        <v>3577000000</v>
      </c>
      <c r="F11" s="6" t="s">
        <v>102</v>
      </c>
    </row>
    <row r="12" spans="1:6" x14ac:dyDescent="0.25">
      <c r="A12" t="s">
        <v>34</v>
      </c>
      <c r="B12" s="34">
        <v>443800000</v>
      </c>
      <c r="C12" s="34">
        <v>454800000</v>
      </c>
      <c r="D12" s="34">
        <v>462300000</v>
      </c>
      <c r="E12" s="34">
        <v>470400000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