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<sst xmlns="http://schemas.openxmlformats.org/spreadsheetml/2006/main" count="112" uniqueCount="100">
  <si>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Zoetis Inc. (ZTS)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</si>
  <si>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</si>
  <si>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</si>
  <si>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</si>
  <si>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</si>
  <si>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</si>
  <si>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</si>
  <si>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</si>
  <si>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</si>
  <si>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</si>
  <si>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</si>
  <si>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</si>
  <si>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</si>
  <si>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</si>
  <si>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</si>
  <si>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</si>
  <si>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</si>
  <si>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</si>
  <si>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</si>
  <si>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</si>
  <si>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</si>
  <si>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</si>
  <si>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</si>
  <si>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</si>
  <si>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</si>
  <si>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</si>
  <si>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</si>
  <si>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</si>
  <si>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</si>
  <si>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</si>
  <si>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</si>
  <si>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</si>
  <si>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</si>
  <si>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</si>
  <si>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</si>
  <si>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</si>
  <si>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</si>
  <si>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</si>
  <si>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</si>
  <si>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</si>
  <si>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</si>
  <si>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</si>
  <si>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</si>
  <si>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</si>
  <si>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</si>
  <si>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</si>
  <si>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</si>
  <si>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</si>
  <si>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</si>
  <si>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</si>
  <si>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</si>
  <si>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</si>
  <si>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</si>
  <si>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</si>
  <si>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</si>
  <si>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</si>
  <si>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</si>
  <si>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</si>
  <si>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</si>
  <si>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</si>
  <si>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</si>
  <si>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</si>
  <si>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</si>
  <si>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</si>
  <si>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</si>
  <si>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</si>
  <si>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</si>
  <si>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</si>
  <si>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</si>
  <si>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</si>
  <si>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</si>
  <si>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</si>
  <si>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</si>
  <si>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</si>
  <si>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</si>
  <si>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</si>
  <si>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</si>
  <si>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</si>
  <si>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</si>
  <si>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</si>
  <si>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</si>
  <si>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</si>
  <si>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</si>
  <si>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</si>
  <si>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</si>
  <si>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</si>
  <si>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</si>
  <si>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</si>
  <si>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</si>
  <si>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</si>
  <si>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</si>
  <si>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</si>
  <si>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</si>
  <si>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</si>
  <si>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</si>
  <si>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</si>
  <si>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</si>
  <si>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</si>
  <si>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7.4% of revenue against depreciation of 5.5%.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</si>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</sst>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0.054225876815096274</v>
      </c>
    </row>
    <row r="7" spans="1:2" x14ac:dyDescent="0.25">
      <c r="A7" t="s">
        <v>5</v>
      </c>
      <c r="B7" s="6">
        <v>0.3669980204165256</v>
      </c>
    </row>
    <row r="8" spans="1:2" x14ac:dyDescent="0.25">
      <c r="A8" t="s">
        <v>6</v>
      </c>
      <c r="B8" s="6">
        <v>0.20389189389448725</v>
      </c>
    </row>
    <row r="9" spans="1:2" x14ac:dyDescent="0.25">
      <c r="A9" t="s">
        <v>7</v>
      </c>
      <c r="B9" s="6">
        <v>0.05503837116474737</v>
      </c>
    </row>
    <row r="10" spans="1:2" x14ac:dyDescent="0.25">
      <c r="A10" t="s">
        <v>8</v>
      </c>
      <c r="B10" s="6">
        <v>0.07364002521193407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8.920706632713026</v>
      </c>
    </row>
    <row r="14" spans="1:3" x14ac:dyDescent="0.25">
      <c r="A14" t="s">
        <v>12</v>
      </c>
      <c r="B14" s="6">
        <v>0.2213603461067967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0.81843</v>
      </c>
      <c r="C19" s="8" t="s">
        <v>19</v>
      </c>
    </row>
    <row r="20" spans="1:2" x14ac:dyDescent="0.25">
      <c r="A20" t="s">
        <v>20</v>
      </c>
      <c r="B20" s="10">
        <f>B17+B19*B18</f>
        <v>0.09499365000000001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29504165888</v>
      </c>
    </row>
    <row r="23" spans="1:2" x14ac:dyDescent="0.25">
      <c r="A23" t="s">
        <v>24</v>
      </c>
      <c r="B23" s="11">
        <v>9238000000</v>
      </c>
    </row>
    <row r="24" spans="1:2" x14ac:dyDescent="0.25">
      <c r="A24" t="s">
        <v>25</v>
      </c>
      <c r="B24" s="10">
        <f>B22/(B22+B23)</f>
        <v>0.7615517927751846</v>
      </c>
    </row>
    <row r="25" spans="1:2" x14ac:dyDescent="0.25">
      <c r="A25" t="s">
        <v>26</v>
      </c>
      <c r="B25" s="10">
        <f>1-B24</f>
        <v>0.2384482072248154</v>
      </c>
    </row>
    <row r="26" spans="1:2" x14ac:dyDescent="0.25">
      <c r="A26" t="s">
        <v>27</v>
      </c>
      <c r="B26" s="12">
        <f>B24*B20+B25*B21*(1-B8)</f>
        <v>0.0818303153816454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9467000000</v>
      </c>
      <c r="C29" s="8" t="s">
        <v>30</v>
      </c>
    </row>
    <row r="30" spans="1:2" x14ac:dyDescent="0.25">
      <c r="A30" t="s">
        <v>31</v>
      </c>
      <c r="B30" s="11">
        <v>6928000000</v>
      </c>
    </row>
    <row r="31" spans="1:2" x14ac:dyDescent="0.25">
      <c r="A31" t="s">
        <v>32</v>
      </c>
      <c r="B31" s="13">
        <v>443800000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0.054225876815096274</v>
      </c>
      <c r="C5" s="10">
        <f>Assumptions!B6</f>
        <v>0.054225876815096274</v>
      </c>
      <c r="D5" s="10">
        <f>Assumptions!B6</f>
        <v>0.054225876815096274</v>
      </c>
      <c r="E5" s="10">
        <f>Assumptions!B6</f>
        <v>0.054225876815096274</v>
      </c>
      <c r="F5" s="10">
        <f>Assumptions!B6</f>
        <v>0.054225876815096274</v>
      </c>
    </row>
    <row r="6" spans="1:6" x14ac:dyDescent="0.25">
      <c r="A6" t="s">
        <v>43</v>
      </c>
      <c r="B6" s="18">
        <f>Assumptions!B29*(1+B5)</f>
        <v>9980356375.808516</v>
      </c>
      <c r="C6" s="18">
        <f>B6*(1+C5)</f>
        <v>10521549951.21387</v>
      </c>
      <c r="D6" s="18">
        <f>C6*(1+D5)</f>
        <v>11092090222.772274</v>
      </c>
      <c r="E6" s="18">
        <f>D6*(1+E5)</f>
        <v>11693568540.814257</v>
      </c>
      <c r="F6" s="18">
        <f>E6*(1+F5)</f>
        <v>12327662548.037336</v>
      </c>
    </row>
    <row r="7" spans="1:6" x14ac:dyDescent="0.25">
      <c r="A7" t="s">
        <v>5</v>
      </c>
      <c r="B7" s="10">
        <f>Assumptions!B7</f>
        <v>0.3669980204165256</v>
      </c>
      <c r="C7" s="10">
        <f>Assumptions!B7</f>
        <v>0.3669980204165256</v>
      </c>
      <c r="D7" s="10">
        <f>Assumptions!B7</f>
        <v>0.3669980204165256</v>
      </c>
      <c r="E7" s="10">
        <f>Assumptions!B7</f>
        <v>0.3669980204165256</v>
      </c>
      <c r="F7" s="10">
        <f>Assumptions!B7</f>
        <v>0.3669980204165256</v>
      </c>
    </row>
    <row r="8" spans="1:6" x14ac:dyDescent="0.25">
      <c r="A8" t="s">
        <v>44</v>
      </c>
      <c r="B8" s="18">
        <f>B6*B7</f>
        <v>3662771032.9731755</v>
      </c>
      <c r="C8" s="18">
        <f>C6*C7</f>
        <v>3861388003.8090816</v>
      </c>
      <c r="D8" s="18">
        <f>D6*D7</f>
        <v>4070775154.0389233</v>
      </c>
      <c r="E8" s="18">
        <f>E6*E7</f>
        <v>4291516506.083792</v>
      </c>
      <c r="F8" s="18">
        <f>F6*F7</f>
        <v>4524227751.492644</v>
      </c>
    </row>
    <row r="9" spans="1:6" x14ac:dyDescent="0.25">
      <c r="A9" t="s">
        <v>45</v>
      </c>
      <c r="B9" s="18">
        <f>B8*(1-Assumptions!B8)</f>
        <v>2915961710.158407</v>
      </c>
      <c r="C9" s="18">
        <f>C8*(1-Assumptions!B8)</f>
        <v>3074082290.6509943</v>
      </c>
      <c r="D9" s="18">
        <f>D8*(1-Assumptions!B8)</f>
        <v>3240777098.263304</v>
      </c>
      <c r="E9" s="18">
        <f>E8*(1-Assumptions!B8)</f>
        <v>3416511077.978915</v>
      </c>
      <c r="F9" s="18">
        <f>F8*(1-Assumptions!B8)</f>
        <v>3601774386.8308115</v>
      </c>
    </row>
    <row r="10" spans="1:6" x14ac:dyDescent="0.25">
      <c r="A10" t="s">
        <v>46</v>
      </c>
      <c r="B10" s="18">
        <f>B6*Assumptions!B9</f>
        <v>549302558.568202</v>
      </c>
      <c r="C10" s="18">
        <f>C6*Assumptions!B9</f>
        <v>579088971.4433385</v>
      </c>
      <c r="D10" s="18">
        <f>D6*Assumptions!B9</f>
        <v>610490578.6738057</v>
      </c>
      <c r="E10" s="18">
        <f>E6*Assumptions!B9</f>
        <v>643594965.5897484</v>
      </c>
      <c r="F10" s="18">
        <f>F6*Assumptions!B9</f>
        <v>678494466.9126343</v>
      </c>
    </row>
    <row r="11" spans="1:6" x14ac:dyDescent="0.25">
      <c r="A11" t="s">
        <v>47</v>
      </c>
      <c r="B11" s="18">
        <f>-B6*Assumptions!B10</f>
        <v>-734953695.138626</v>
      </c>
      <c r="C11" s="18">
        <f>-C6*Assumptions!B10</f>
        <v>-774807203.676013</v>
      </c>
      <c r="D11" s="18">
        <f>-D6*Assumptions!B10</f>
        <v>-816821803.6579976</v>
      </c>
      <c r="E11" s="18">
        <f>-E6*Assumptions!B10</f>
        <v>-861114682.1630409</v>
      </c>
      <c r="F11" s="18">
        <f>-F6*Assumptions!B10</f>
        <v>-907809380.8416848</v>
      </c>
    </row>
    <row r="12" spans="1:6" x14ac:dyDescent="0.25">
      <c r="A12" t="s">
        <v>48</v>
      </c>
      <c r="B12" s="18">
        <f>-(B6-Assumptions!B29)*Assumptions!B11</f>
        <v>-513356375.80851555</v>
      </c>
      <c r="C12" s="18">
        <f>-(C6-B6)*Assumptions!B11</f>
        <v>-541193575.4053535</v>
      </c>
      <c r="D12" s="18">
        <f>-(D6-C6)*Assumptions!B11</f>
        <v>-570540271.5584049</v>
      </c>
      <c r="E12" s="18">
        <f>-(E6-D6)*Assumptions!B11</f>
        <v>-601478318.0419827</v>
      </c>
      <c r="F12" s="18">
        <f>-(F6-E6)*Assumptions!B11</f>
        <v>-634094007.2230797</v>
      </c>
    </row>
    <row r="13" spans="1:6" x14ac:dyDescent="0.25">
      <c r="A13" s="19" t="s">
        <v>49</v>
      </c>
      <c r="B13" s="20">
        <f>B9+B10+B11+B12</f>
        <v>2216954197.7794676</v>
      </c>
      <c r="C13" s="20">
        <f>C9+C10+C11+C12</f>
        <v>2337170483.012966</v>
      </c>
      <c r="D13" s="20">
        <f>D9+D10+D11+D12</f>
        <v>2463905601.7207074</v>
      </c>
      <c r="E13" s="20">
        <f>E9+E10+E11+E12</f>
        <v>2597513043.36364</v>
      </c>
      <c r="F13" s="20">
        <f>F9+F10+F11+F12</f>
        <v>2738365465.6786814</v>
      </c>
    </row>
    <row r="14" spans="1:6" x14ac:dyDescent="0.25">
      <c r="A14" t="s">
        <v>50</v>
      </c>
      <c r="B14" s="21">
        <f>1/(1+Assumptions!$B$26)^(1-0.5*Assumptions!$B$32)</f>
        <v>0.9614361031174717</v>
      </c>
      <c r="C14" s="21">
        <f>1/(1+Assumptions!$B$26)^(2-0.5*Assumptions!$B$32)</f>
        <v>0.8887124805504261</v>
      </c>
      <c r="D14" s="21">
        <f>1/(1+Assumptions!$B$26)^(3-0.5*Assumptions!$B$32)</f>
        <v>0.8214897178555293</v>
      </c>
      <c r="E14" s="21">
        <f>1/(1+Assumptions!$B$26)^(4-0.5*Assumptions!$B$32)</f>
        <v>0.7593517265835967</v>
      </c>
      <c r="F14" s="21">
        <f>1/(1+Assumptions!$B$26)^(5-0.5*Assumptions!$B$32)</f>
        <v>0.7019138914735574</v>
      </c>
    </row>
    <row r="15" spans="1:6" x14ac:dyDescent="0.25">
      <c r="A15" s="19" t="s">
        <v>51</v>
      </c>
      <c r="B15" s="20">
        <f>B13*B14</f>
        <v>2131459804.703012</v>
      </c>
      <c r="C15" s="20">
        <f>C13*C14</f>
        <v>2077072577.4276905</v>
      </c>
      <c r="D15" s="20">
        <f>D13*D14</f>
        <v>2024073117.580202</v>
      </c>
      <c r="E15" s="20">
        <f>E13*E14</f>
        <v>1972426014.3015928</v>
      </c>
      <c r="F15" s="20">
        <f>F13*F14</f>
        <v>1922096760.2913234</v>
      </c>
    </row>
    <row r="17" spans="1:2" x14ac:dyDescent="0.25">
      <c r="A17" s="22" t="s">
        <v>52</v>
      </c>
      <c r="B17" s="23">
        <f>SUM(B15:F15)</f>
        <v>10127128274.303822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2738365465.6786814</v>
      </c>
    </row>
    <row r="5" spans="1:2" x14ac:dyDescent="0.25">
      <c r="A5" t="s">
        <v>56</v>
      </c>
      <c r="B5" s="18">
        <f>IF(Assumptions!$B$33=0,B4,B4-Forecast!F11-Forecast!F10-Forecast!F12)</f>
        <v>3799828329.705113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0.11293802363291659</v>
      </c>
    </row>
    <row r="7" spans="1:2" x14ac:dyDescent="0.25">
      <c r="A7" t="s">
        <v>58</v>
      </c>
      <c r="B7" s="18">
        <f>-MAX(Forecast!F9,0)*B6</f>
        <v>-429145101.701262</v>
      </c>
    </row>
    <row r="8" spans="1:2" x14ac:dyDescent="0.25">
      <c r="A8" t="s">
        <v>59</v>
      </c>
      <c r="B8" s="18">
        <f>IF(OR(Assumptions!$B$33=0,Assumptions!B12&lt;=0),B5,MAX(B5+B7,0))</f>
        <v>3370683228.003851</v>
      </c>
    </row>
    <row r="9" spans="1:2" x14ac:dyDescent="0.25">
      <c r="A9" t="s">
        <v>60</v>
      </c>
      <c r="B9" s="18">
        <f>B8*(1+Assumptions!B12)/(Assumptions!B26-Assumptions!B12)</f>
        <v>60794142800.40754</v>
      </c>
    </row>
    <row r="10" spans="1:2" x14ac:dyDescent="0.25">
      <c r="A10" t="s">
        <v>61</v>
      </c>
      <c r="B10" s="18">
        <f>B9/(1+Assumptions!B26)^(5-0.5*Assumptions!B32)</f>
        <v>42672253351.83321</v>
      </c>
    </row>
    <row r="11" spans="1:2" x14ac:dyDescent="0.25">
      <c r="A11" t="s">
        <v>62</v>
      </c>
      <c r="B11" s="18">
        <f>Forecast!B17+B10</f>
        <v>52799381626.13704</v>
      </c>
    </row>
    <row r="12" spans="1:2" x14ac:dyDescent="0.25">
      <c r="A12" t="s">
        <v>63</v>
      </c>
      <c r="B12" s="18">
        <f>-Assumptions!B30</f>
        <v>-6928000000</v>
      </c>
    </row>
    <row r="13" spans="1:2" x14ac:dyDescent="0.25">
      <c r="A13" t="s">
        <v>64</v>
      </c>
      <c r="B13" s="18">
        <f>B11+B12</f>
        <v>45871381626.13704</v>
      </c>
    </row>
    <row r="14" spans="1:2" x14ac:dyDescent="0.25">
      <c r="A14" s="19" t="s">
        <v>65</v>
      </c>
      <c r="B14" s="24">
        <f>B13/Assumptions!B31</f>
        <v>103.36048135677567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5202722218.405278</v>
      </c>
    </row>
    <row r="18" spans="1:2" x14ac:dyDescent="0.25">
      <c r="A18" t="s">
        <v>60</v>
      </c>
      <c r="B18" s="18">
        <f>B17*Assumptions!B13</f>
        <v>46411958601.891396</v>
      </c>
    </row>
    <row r="19" spans="1:2" x14ac:dyDescent="0.25">
      <c r="A19" t="s">
        <v>61</v>
      </c>
      <c r="B19" s="18">
        <f>B18/(1+Assumptions!B26)^(5-0.5*Assumptions!B32)</f>
        <v>32577198473.16324</v>
      </c>
    </row>
    <row r="20" spans="1:2" x14ac:dyDescent="0.25">
      <c r="A20" t="s">
        <v>62</v>
      </c>
      <c r="B20" s="18">
        <f>Forecast!B17+B19</f>
        <v>42704326747.46706</v>
      </c>
    </row>
    <row r="21" spans="1:2" x14ac:dyDescent="0.25">
      <c r="A21" t="s">
        <v>63</v>
      </c>
      <c r="B21" s="18">
        <f>-Assumptions!B30</f>
        <v>-6928000000</v>
      </c>
    </row>
    <row r="22" spans="1:2" x14ac:dyDescent="0.25">
      <c r="A22" t="s">
        <v>64</v>
      </c>
      <c r="B22" s="18">
        <f>B20+B21</f>
        <v>35776326747.46706</v>
      </c>
    </row>
    <row r="23" spans="1:2" x14ac:dyDescent="0.25">
      <c r="A23" s="19" t="s">
        <v>65</v>
      </c>
      <c r="B23" s="25">
        <f>B22/Assumptions!B31</f>
        <v>80.61362493796092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71.4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103.36048135677567</v>
      </c>
    </row>
    <row r="29" spans="1:2" x14ac:dyDescent="0.25">
      <c r="A29" s="19" t="s">
        <v>73</v>
      </c>
      <c r="B29" s="12">
        <f>B28/B26-1</f>
        <v>0.4476257893105835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0.06183</v>
      </c>
      <c r="B5" s="31">
        <v>140.35149893627917</v>
      </c>
      <c r="C5" s="31">
        <v>153.2660437157034</v>
      </c>
      <c r="D5" s="31">
        <v>169.64703062295914</v>
      </c>
      <c r="E5" s="31">
        <v>191.12803276258532</v>
      </c>
      <c r="F5" s="31">
        <v>220.56034452465113</v>
      </c>
    </row>
    <row r="6" spans="1:6" x14ac:dyDescent="0.25">
      <c r="A6" s="30">
        <v>0.07183</v>
      </c>
      <c r="B6" s="31">
        <v>112.06905993992638</v>
      </c>
      <c r="C6" s="31">
        <v>119.91212390310481</v>
      </c>
      <c r="D6" s="31">
        <v>129.39975835783335</v>
      </c>
      <c r="E6" s="31">
        <v>141.12169692527524</v>
      </c>
      <c r="F6" s="31">
        <v>155.9879195590198</v>
      </c>
    </row>
    <row r="7" spans="1:6" x14ac:dyDescent="0.25">
      <c r="A7" s="30">
        <v>0.08183</v>
      </c>
      <c r="B7" s="31">
        <v>92.299205817437</v>
      </c>
      <c r="C7" s="31">
        <v>97.39388623775395</v>
      </c>
      <c r="D7" s="32">
        <v>103.36115738482164</v>
      </c>
      <c r="E7" s="31">
        <v>110.4535537155427</v>
      </c>
      <c r="F7" s="31">
        <v>119.03146125927441</v>
      </c>
    </row>
    <row r="8" spans="1:6" x14ac:dyDescent="0.25">
      <c r="A8" s="30">
        <v>0.09183</v>
      </c>
      <c r="B8" s="31">
        <v>77.71555196359388</v>
      </c>
      <c r="C8" s="31">
        <v>81.18343043547515</v>
      </c>
      <c r="D8" s="31">
        <v>85.15073087543473</v>
      </c>
      <c r="E8" s="31">
        <v>89.7386133921768</v>
      </c>
      <c r="F8" s="31">
        <v>95.11087758365552</v>
      </c>
    </row>
    <row r="9" spans="1:6" x14ac:dyDescent="0.25">
      <c r="A9" s="30">
        <v>0.10183</v>
      </c>
      <c r="B9" s="31">
        <v>66.52422349608547</v>
      </c>
      <c r="C9" s="31">
        <v>68.9663126782763</v>
      </c>
      <c r="D9" s="31">
        <v>71.7099875804952</v>
      </c>
      <c r="E9" s="31">
        <v>74.81822726163713</v>
      </c>
      <c r="F9" s="31">
        <v>78.37285832178952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9467000000</v>
      </c>
      <c r="C5" s="18">
        <v>9256000000</v>
      </c>
      <c r="D5" s="18">
        <v>8544000000</v>
      </c>
      <c r="E5" s="18">
        <v>8080000000</v>
      </c>
      <c r="F5" s="8" t="s">
        <v>84</v>
      </c>
    </row>
    <row r="6" spans="1:6" x14ac:dyDescent="0.25">
      <c r="A6" t="s">
        <v>44</v>
      </c>
      <c r="B6" s="18">
        <v>3597000000</v>
      </c>
      <c r="C6" s="18">
        <v>3392000000</v>
      </c>
      <c r="D6" s="18">
        <v>3069000000</v>
      </c>
      <c r="E6" s="18">
        <v>2928000000</v>
      </c>
      <c r="F6" s="8" t="s">
        <v>85</v>
      </c>
    </row>
    <row r="7" spans="1:6" x14ac:dyDescent="0.25">
      <c r="A7" t="s">
        <v>86</v>
      </c>
      <c r="B7" s="18">
        <v>487000000</v>
      </c>
      <c r="C7" s="18">
        <v>497000000</v>
      </c>
      <c r="D7" s="18">
        <v>491000000</v>
      </c>
      <c r="E7" s="18">
        <v>465000000</v>
      </c>
      <c r="F7" s="8" t="s">
        <v>87</v>
      </c>
    </row>
    <row r="8" spans="1:6" x14ac:dyDescent="0.25">
      <c r="A8" t="s">
        <v>88</v>
      </c>
      <c r="B8" s="18">
        <v>621000000</v>
      </c>
      <c r="C8" s="18">
        <v>655000000</v>
      </c>
      <c r="D8" s="18">
        <v>732000000</v>
      </c>
      <c r="E8" s="18">
        <v>586000000</v>
      </c>
      <c r="F8" s="8" t="s">
        <v>89</v>
      </c>
    </row>
    <row r="9" spans="1:6" x14ac:dyDescent="0.25">
      <c r="A9" t="s">
        <v>90</v>
      </c>
      <c r="B9" s="18">
        <v>408000000</v>
      </c>
      <c r="C9" s="18">
        <v>-79000000</v>
      </c>
      <c r="D9" s="18">
        <v>512000000</v>
      </c>
      <c r="E9" s="18">
        <v>699000000</v>
      </c>
      <c r="F9" s="8" t="s">
        <v>91</v>
      </c>
    </row>
    <row r="10" spans="1:6" x14ac:dyDescent="0.25">
      <c r="A10" t="s">
        <v>92</v>
      </c>
      <c r="B10" s="18">
        <v>9238000000</v>
      </c>
      <c r="C10" s="18">
        <v>6744000000</v>
      </c>
      <c r="D10" s="18">
        <v>6755000000</v>
      </c>
      <c r="E10" s="18">
        <v>8090000000</v>
      </c>
      <c r="F10" s="8" t="s">
        <v>93</v>
      </c>
    </row>
    <row r="11" spans="1:6" x14ac:dyDescent="0.25">
      <c r="A11" t="s">
        <v>94</v>
      </c>
      <c r="B11" s="18">
        <v>2310000000</v>
      </c>
      <c r="C11" s="18">
        <v>1985000000</v>
      </c>
      <c r="D11" s="18">
        <v>2039000000</v>
      </c>
      <c r="E11" s="18">
        <v>3577000000</v>
      </c>
      <c r="F11" s="8" t="s">
        <v>95</v>
      </c>
    </row>
    <row r="12" spans="1:6" x14ac:dyDescent="0.25">
      <c r="A12" t="s">
        <v>32</v>
      </c>
      <c r="B12" s="34">
        <v>443800000</v>
      </c>
      <c r="C12" s="34">
        <v>454800000</v>
      </c>
      <c r="D12" s="34">
        <v>462300000</v>
      </c>
      <c r="E12" s="34">
        <v>470400000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