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<sst xmlns="http://schemas.openxmlformats.org/spreadsheetml/2006/main" count="125" uniqueCount="105">
  <si>
    <t>Zurich Insurance Group AG (ZURN.SW)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</si>
  <si>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</si>
  <si>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</si>
  <si>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</si>
  <si>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</si>
  <si>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</si>
  <si>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</si>
  <si>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</si>
  <si>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</si>
  <si>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</si>
  <si>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</si>
  <si>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</si>
  <si>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</si>
  <si>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</si>
  <si>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</si>
  <si>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</si>
  <si>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</si>
  <si>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</si>
  <si>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</si>
  <si>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</si>
  <si>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</si>
  <si>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</si>
  <si>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</si>
  <si>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</si>
  <si>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</si>
  <si>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</si>
  <si>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</si>
  <si>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</si>
  <si>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</si>
  <si>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</si>
  <si>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</si>
  <si>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</si>
  <si>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</si>
  <si>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</si>
  <si>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</si>
  <si>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</si>
  <si>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</si>
  <si>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</si>
  <si>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</si>
  <si>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</si>
  <si>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</si>
  <si>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</si>
  <si>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</si>
  <si>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</si>
  <si>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</si>
  <si>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</si>
  <si>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</si>
  <si>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</si>
  <si>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</si>
  <si>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</si>
  <si>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</si>
  <si>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</si>
  <si>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</si>
  <si>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</si>
  <si>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</si>
  <si>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</si>
  <si>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</si>
  <si>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</si>
  <si>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</si>
  <si>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</si>
  <si>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</si>
  <si>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</si>
  <si>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</si>
  <si>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</si>
  <si>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</si>
  <si>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</si>
  <si>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</si>
  <si>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</si>
  <si>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</si>
  <si>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</si>
  <si>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</si>
  <si>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</si>
  <si>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</si>
  <si>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</si>
  <si>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</si>
  <si>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</si>
  <si>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</si>
  <si>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</si>
  <si>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</si>
  <si>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</si>
  <si>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</si>
  <si>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</si>
  <si>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</si>
  <si>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</si>
  <si>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</si>
  <si>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</si>
  <si>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</si>
  <si>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</si>
  <si>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</si>
  <si>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</si>
  <si>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</si>
  <si>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</si>
  <si>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</si>
  <si>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</si>
  <si>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</si>
  <si>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</si>
  <si>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</si>
  <si>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</si>
  <si>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</si>
  <si>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</si>
  <si>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23.2x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</si>
  <si>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USD, trades in CHF. Modelled in USD, converted at the end.</t>
  </si>
  <si>
    <t>Adjusted: Reported capital expenditure averages just 0.68% of revenue, which is too low to be the company's real investment - property trusts and similar structures invest through lines that are not reported as capex. Capex has been set to 1.20% of revenue so the forecast is not handed free growth. Override it if the reported figure is right.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</si>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</sst>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0.2558926182348791</v>
      </c>
    </row>
    <row r="7" spans="1:2" x14ac:dyDescent="0.25">
      <c r="A7" t="s">
        <v>5</v>
      </c>
      <c r="B7" s="6">
        <v>0.10358798131638318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0.012015501736758041</v>
      </c>
    </row>
    <row r="10" spans="1:2" x14ac:dyDescent="0.25">
      <c r="A10" t="s">
        <v>8</v>
      </c>
      <c r="B10" s="6">
        <v>0.012015501736758041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7.964552973389613</v>
      </c>
    </row>
    <row r="14" spans="1:3" x14ac:dyDescent="0.25">
      <c r="A14" t="s">
        <v>12</v>
      </c>
      <c r="B14" s="6">
        <v>0.16479695958274898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0.54038</v>
      </c>
      <c r="C19" s="8" t="s">
        <v>19</v>
      </c>
    </row>
    <row r="20" spans="1:2" x14ac:dyDescent="0.25">
      <c r="A20" t="s">
        <v>20</v>
      </c>
      <c r="B20" s="10">
        <f>B17+B19*B18</f>
        <v>0.0347209</v>
      </c>
    </row>
    <row r="21" spans="1:3" x14ac:dyDescent="0.25">
      <c r="A21" t="s">
        <v>21</v>
      </c>
      <c r="B21" s="6">
        <v>0.030555647812946295</v>
      </c>
      <c r="C21" s="8" t="s">
        <v>22</v>
      </c>
    </row>
    <row r="22" spans="1:2" x14ac:dyDescent="0.25">
      <c r="A22" t="s">
        <v>23</v>
      </c>
      <c r="B22" s="11">
        <v>89113698304</v>
      </c>
    </row>
    <row r="23" spans="1:2" x14ac:dyDescent="0.25">
      <c r="A23" t="s">
        <v>24</v>
      </c>
      <c r="B23" s="11">
        <v>15681000000</v>
      </c>
    </row>
    <row r="24" spans="1:2" x14ac:dyDescent="0.25">
      <c r="A24" t="s">
        <v>25</v>
      </c>
      <c r="B24" s="10">
        <f>B22/(B22+B23)</f>
        <v>0.8503645675422355</v>
      </c>
    </row>
    <row r="25" spans="1:2" x14ac:dyDescent="0.25">
      <c r="A25" t="s">
        <v>26</v>
      </c>
      <c r="B25" s="10">
        <f>1-B24</f>
        <v>0.14963543245776445</v>
      </c>
    </row>
    <row r="26" spans="1:2" x14ac:dyDescent="0.25">
      <c r="A26" t="s">
        <v>27</v>
      </c>
      <c r="B26" s="12">
        <f>B24*B20+B25*B21*(1-B8)</f>
        <v>0.03341179955151696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88670000000</v>
      </c>
      <c r="C29" s="8" t="s">
        <v>30</v>
      </c>
    </row>
    <row r="30" spans="1:2" x14ac:dyDescent="0.25">
      <c r="A30" t="s">
        <v>31</v>
      </c>
      <c r="B30" s="11">
        <v>-2316000000</v>
      </c>
    </row>
    <row r="31" spans="1:2" x14ac:dyDescent="0.25">
      <c r="A31" t="s">
        <v>32</v>
      </c>
      <c r="B31" s="13">
        <v>144017586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0.2558926182348791</v>
      </c>
      <c r="C5" s="10">
        <f>Assumptions!B6</f>
        <v>0.2558926182348791</v>
      </c>
      <c r="D5" s="10">
        <f>Assumptions!B6</f>
        <v>0.2558926182348791</v>
      </c>
      <c r="E5" s="10">
        <f>Assumptions!B6</f>
        <v>0.2558926182348791</v>
      </c>
      <c r="F5" s="10">
        <f>Assumptions!B6</f>
        <v>0.2558926182348791</v>
      </c>
    </row>
    <row r="6" spans="1:6" x14ac:dyDescent="0.25">
      <c r="A6" t="s">
        <v>43</v>
      </c>
      <c r="B6" s="18">
        <f>Assumptions!B29*(1+B5)</f>
        <v>111359998458.88673</v>
      </c>
      <c r="C6" s="18">
        <f>B6*(1+C5)</f>
        <v>139856200031.16336</v>
      </c>
      <c r="D6" s="18">
        <f>C6*(1+D5)</f>
        <v>175644369233.51874</v>
      </c>
      <c r="E6" s="18">
        <f>D6*(1+E5)</f>
        <v>220590466754.89767</v>
      </c>
      <c r="F6" s="18">
        <f>E6*(1+F5)</f>
        <v>277037938850.46246</v>
      </c>
    </row>
    <row r="7" spans="1:6" x14ac:dyDescent="0.25">
      <c r="A7" t="s">
        <v>5</v>
      </c>
      <c r="B7" s="10">
        <f>Assumptions!B7</f>
        <v>0.10358798131638318</v>
      </c>
      <c r="C7" s="10">
        <f>Assumptions!B7</f>
        <v>0.10358798131638318</v>
      </c>
      <c r="D7" s="10">
        <f>Assumptions!B7</f>
        <v>0.10358798131638318</v>
      </c>
      <c r="E7" s="10">
        <f>Assumptions!B7</f>
        <v>0.10358798131638318</v>
      </c>
      <c r="F7" s="10">
        <f>Assumptions!B7</f>
        <v>0.10358798131638318</v>
      </c>
    </row>
    <row r="8" spans="1:6" x14ac:dyDescent="0.25">
      <c r="A8" t="s">
        <v>44</v>
      </c>
      <c r="B8" s="18">
        <f>B6*B7</f>
        <v>11535557439.75162</v>
      </c>
      <c r="C8" s="18">
        <f>C6*C7</f>
        <v>14487421435.808498</v>
      </c>
      <c r="D8" s="18">
        <f>D6*D7</f>
        <v>18194645638.489647</v>
      </c>
      <c r="E8" s="18">
        <f>E6*E7</f>
        <v>22850521148.778584</v>
      </c>
      <c r="F8" s="18">
        <f>F6*F7</f>
        <v>28697800833.57101</v>
      </c>
    </row>
    <row r="9" spans="1:6" x14ac:dyDescent="0.25">
      <c r="A9" t="s">
        <v>45</v>
      </c>
      <c r="B9" s="18">
        <f>B8*(1-Assumptions!B8)</f>
        <v>9805223823.788876</v>
      </c>
      <c r="C9" s="18">
        <f>C8*(1-Assumptions!B8)</f>
        <v>12314308220.437223</v>
      </c>
      <c r="D9" s="18">
        <f>D8*(1-Assumptions!B8)</f>
        <v>15465448792.7162</v>
      </c>
      <c r="E9" s="18">
        <f>E8*(1-Assumptions!B8)</f>
        <v>19422942976.461796</v>
      </c>
      <c r="F9" s="18">
        <f>F8*(1-Assumptions!B8)</f>
        <v>24393130708.53536</v>
      </c>
    </row>
    <row r="10" spans="1:6" x14ac:dyDescent="0.25">
      <c r="A10" t="s">
        <v>46</v>
      </c>
      <c r="B10" s="18">
        <f>B6*Assumptions!B9</f>
        <v>1338046254.8881264</v>
      </c>
      <c r="C10" s="18">
        <f>C6*Assumptions!B9</f>
        <v>1680442414.3708234</v>
      </c>
      <c r="D10" s="18">
        <f>D6*Assumptions!B9</f>
        <v>2110455223.577115</v>
      </c>
      <c r="E10" s="18">
        <f>E6*Assumptions!B9</f>
        <v>2650505136.40574</v>
      </c>
      <c r="F10" s="18">
        <f>F6*Assumptions!B9</f>
        <v>3328749835.4055996</v>
      </c>
    </row>
    <row r="11" spans="1:6" x14ac:dyDescent="0.25">
      <c r="A11" t="s">
        <v>47</v>
      </c>
      <c r="B11" s="18">
        <f>-B6*Assumptions!B10</f>
        <v>-1338046254.8881264</v>
      </c>
      <c r="C11" s="18">
        <f>-C6*Assumptions!B10</f>
        <v>-1680442414.3708234</v>
      </c>
      <c r="D11" s="18">
        <f>-D6*Assumptions!B10</f>
        <v>-2110455223.577115</v>
      </c>
      <c r="E11" s="18">
        <f>-E6*Assumptions!B10</f>
        <v>-2650505136.40574</v>
      </c>
      <c r="F11" s="18">
        <f>-F6*Assumptions!B10</f>
        <v>-3328749835.4055996</v>
      </c>
    </row>
    <row r="12" spans="1:6" x14ac:dyDescent="0.25">
      <c r="A12" t="s">
        <v>48</v>
      </c>
      <c r="B12" s="18">
        <f>-(B6-Assumptions!B29)*Assumptions!B11</f>
        <v>22689998458.886734</v>
      </c>
      <c r="C12" s="18">
        <f>-(C6-B6)*Assumptions!B11</f>
        <v>28496201572.276627</v>
      </c>
      <c r="D12" s="18">
        <f>-(D6-C6)*Assumptions!B11</f>
        <v>35788169202.35538</v>
      </c>
      <c r="E12" s="18">
        <f>-(E6-D6)*Assumptions!B11</f>
        <v>44946097521.37894</v>
      </c>
      <c r="F12" s="18">
        <f>-(F6-E6)*Assumptions!B11</f>
        <v>56447472095.56479</v>
      </c>
    </row>
    <row r="13" spans="1:6" x14ac:dyDescent="0.25">
      <c r="A13" s="19" t="s">
        <v>49</v>
      </c>
      <c r="B13" s="20">
        <f>B9+B10+B11+B12</f>
        <v>32495222282.67561</v>
      </c>
      <c r="C13" s="20">
        <f>C9+C10+C11+C12</f>
        <v>40810509792.71385</v>
      </c>
      <c r="D13" s="20">
        <f>D9+D10+D11+D12</f>
        <v>51253617995.07158</v>
      </c>
      <c r="E13" s="20">
        <f>E9+E10+E11+E12</f>
        <v>64369040497.84073</v>
      </c>
      <c r="F13" s="20">
        <f>F9+F10+F11+F12</f>
        <v>80840602804.10014</v>
      </c>
    </row>
    <row r="14" spans="1:6" x14ac:dyDescent="0.25">
      <c r="A14" t="s">
        <v>50</v>
      </c>
      <c r="B14" s="21">
        <f>1/(1+Assumptions!$B$26)^(1-0.5*Assumptions!$B$32)</f>
        <v>0.98370140567728</v>
      </c>
      <c r="C14" s="21">
        <f>1/(1+Assumptions!$B$26)^(2-0.5*Assumptions!$B$32)</f>
        <v>0.9518968199358567</v>
      </c>
      <c r="D14" s="21">
        <f>1/(1+Assumptions!$B$26)^(3-0.5*Assumptions!$B$32)</f>
        <v>0.9211205255726359</v>
      </c>
      <c r="E14" s="21">
        <f>1/(1+Assumptions!$B$26)^(4-0.5*Assumptions!$B$32)</f>
        <v>0.8913392763391963</v>
      </c>
      <c r="F14" s="21">
        <f>1/(1+Assumptions!$B$26)^(5-0.5*Assumptions!$B$32)</f>
        <v>0.8625209008896765</v>
      </c>
    </row>
    <row r="15" spans="1:6" x14ac:dyDescent="0.25">
      <c r="A15" s="19" t="s">
        <v>51</v>
      </c>
      <c r="B15" s="20">
        <f>B13*B14</f>
        <v>31965595837.263668</v>
      </c>
      <c r="C15" s="20">
        <f>C13*C14</f>
        <v>38847394491.645454</v>
      </c>
      <c r="D15" s="20">
        <f>D13*D14</f>
        <v>47210759545.119446</v>
      </c>
      <c r="E15" s="20">
        <f>E13*E14</f>
        <v>57374653975.993774</v>
      </c>
      <c r="F15" s="20">
        <f>F13*F14</f>
        <v>69726709559.05696</v>
      </c>
    </row>
    <row r="17" spans="1:2" x14ac:dyDescent="0.25">
      <c r="A17" s="22" t="s">
        <v>52</v>
      </c>
      <c r="B17" s="23">
        <f>SUM(B15:F15)</f>
        <v>245125113409.07928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80840602804.10014</v>
      </c>
    </row>
    <row r="5" spans="1:2" x14ac:dyDescent="0.25">
      <c r="A5" t="s">
        <v>56</v>
      </c>
      <c r="B5" s="18">
        <f>IF(Assumptions!$B$33=0,B4,B4-Forecast!F11-Forecast!F10-Forecast!F12)</f>
        <v>24393130708.53536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0.15170182789353484</v>
      </c>
    </row>
    <row r="7" spans="1:2" x14ac:dyDescent="0.25">
      <c r="A7" t="s">
        <v>58</v>
      </c>
      <c r="B7" s="18">
        <f>-MAX(Forecast!F9,0)*B6</f>
        <v>-3700482516.5307307</v>
      </c>
    </row>
    <row r="8" spans="1:2" x14ac:dyDescent="0.25">
      <c r="A8" t="s">
        <v>59</v>
      </c>
      <c r="B8" s="18">
        <f>IF(OR(Assumptions!$B$33=0,Assumptions!B12&lt;=0),B5,MAX(B5+B7,0))</f>
        <v>20692648192.004627</v>
      </c>
    </row>
    <row r="9" spans="1:2" x14ac:dyDescent="0.25">
      <c r="A9" t="s">
        <v>60</v>
      </c>
      <c r="B9" s="18">
        <f>B8*(1+Assumptions!B12)/(Assumptions!B26-Assumptions!B12)</f>
        <v>2521453853828.4346</v>
      </c>
    </row>
    <row r="10" spans="1:2" x14ac:dyDescent="0.25">
      <c r="A10" t="s">
        <v>61</v>
      </c>
      <c r="B10" s="18">
        <f>B9/(1+Assumptions!B26)^(5-0.5*Assumptions!B32)</f>
        <v>2174806649555.848</v>
      </c>
    </row>
    <row r="11" spans="1:2" x14ac:dyDescent="0.25">
      <c r="A11" t="s">
        <v>62</v>
      </c>
      <c r="B11" s="18">
        <f>Forecast!B17+B10</f>
        <v>2419931762964.9272</v>
      </c>
    </row>
    <row r="12" spans="1:2" x14ac:dyDescent="0.25">
      <c r="A12" t="s">
        <v>63</v>
      </c>
      <c r="B12" s="18">
        <f>-Assumptions!B30</f>
        <v>2316000000</v>
      </c>
    </row>
    <row r="13" spans="1:2" x14ac:dyDescent="0.25">
      <c r="A13" t="s">
        <v>64</v>
      </c>
      <c r="B13" s="18">
        <f>B11+B12</f>
        <v>2422247762964.9272</v>
      </c>
    </row>
    <row r="14" spans="1:2" x14ac:dyDescent="0.25">
      <c r="A14" s="19" t="s">
        <v>65</v>
      </c>
      <c r="B14" s="24">
        <f>B13/Assumptions!B31</f>
        <v>16819.110986660526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32026550668.97661</v>
      </c>
    </row>
    <row r="18" spans="1:2" x14ac:dyDescent="0.25">
      <c r="A18" t="s">
        <v>60</v>
      </c>
      <c r="B18" s="18">
        <f>B17*Assumptions!B13</f>
        <v>255077159358.01074</v>
      </c>
    </row>
    <row r="19" spans="1:2" x14ac:dyDescent="0.25">
      <c r="A19" t="s">
        <v>61</v>
      </c>
      <c r="B19" s="18">
        <f>B18/(1+Assumptions!B26)^(5-0.5*Assumptions!B32)</f>
        <v>220009381285.85098</v>
      </c>
    </row>
    <row r="20" spans="1:2" x14ac:dyDescent="0.25">
      <c r="A20" t="s">
        <v>62</v>
      </c>
      <c r="B20" s="18">
        <f>Forecast!B17+B19</f>
        <v>465134494694.9303</v>
      </c>
    </row>
    <row r="21" spans="1:2" x14ac:dyDescent="0.25">
      <c r="A21" t="s">
        <v>63</v>
      </c>
      <c r="B21" s="18">
        <f>-Assumptions!B30</f>
        <v>2316000000</v>
      </c>
    </row>
    <row r="22" spans="1:2" x14ac:dyDescent="0.25">
      <c r="A22" t="s">
        <v>64</v>
      </c>
      <c r="B22" s="18">
        <f>B20+B21</f>
        <v>467450494694.9303</v>
      </c>
    </row>
    <row r="23" spans="1:2" x14ac:dyDescent="0.25">
      <c r="A23" s="19" t="s">
        <v>65</v>
      </c>
      <c r="B23" s="25">
        <f>B22/Assumptions!B31</f>
        <v>3245.7875991264727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596.6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13822.113599947488</v>
      </c>
    </row>
    <row r="29" spans="1:2" x14ac:dyDescent="0.25">
      <c r="A29" s="19" t="s">
        <v>73</v>
      </c>
      <c r="B29" s="12">
        <f>B28/B26-1</f>
        <v>22.16814213869844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0.013412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0.023412</v>
      </c>
      <c r="B6" s="31">
        <v>18506.298723541102</v>
      </c>
      <c r="C6" s="31">
        <v>41855.77379921996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0.033412</v>
      </c>
      <c r="B7" s="31">
        <v>9038.620162003264</v>
      </c>
      <c r="C7" s="31">
        <v>11480.115363457218</v>
      </c>
      <c r="D7" s="32">
        <v>16818.737014663213</v>
      </c>
      <c r="E7" s="31">
        <v>37790.973024847735</v>
      </c>
      <c r="F7" s="31" t="s">
        <v>76</v>
      </c>
    </row>
    <row r="8" spans="1:6" x14ac:dyDescent="0.25">
      <c r="A8" s="30">
        <v>0.043412</v>
      </c>
      <c r="B8" s="31">
        <v>6214.410558717775</v>
      </c>
      <c r="C8" s="31">
        <v>7026.8236370600625</v>
      </c>
      <c r="D8" s="31">
        <v>8278.172532570712</v>
      </c>
      <c r="E8" s="31">
        <v>10459.363691531074</v>
      </c>
      <c r="F8" s="31">
        <v>15228.461064457759</v>
      </c>
    </row>
    <row r="9" spans="1:6" x14ac:dyDescent="0.25">
      <c r="A9" s="30">
        <v>0.053412</v>
      </c>
      <c r="B9" s="31">
        <v>4846.105834519927</v>
      </c>
      <c r="C9" s="31">
        <v>5221.909198027924</v>
      </c>
      <c r="D9" s="31">
        <v>5728.550671919585</v>
      </c>
      <c r="E9" s="31">
        <v>6449.857851263899</v>
      </c>
      <c r="F9" s="31">
        <v>7560.715896922788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88670000000</v>
      </c>
      <c r="C5" s="18">
        <v>86046000000</v>
      </c>
      <c r="D5" s="18">
        <v>78098000000</v>
      </c>
      <c r="E5" s="18">
        <v>44763000000</v>
      </c>
      <c r="F5" s="8" t="s">
        <v>85</v>
      </c>
    </row>
    <row r="6" spans="1:6" x14ac:dyDescent="0.25">
      <c r="A6" t="s">
        <v>44</v>
      </c>
      <c r="B6" s="18">
        <v>10040000000</v>
      </c>
      <c r="C6" s="18">
        <v>8465000000</v>
      </c>
      <c r="D6" s="18">
        <v>6458000000</v>
      </c>
      <c r="E6" s="18">
        <v>5374000000</v>
      </c>
      <c r="F6" s="8" t="s">
        <v>86</v>
      </c>
    </row>
    <row r="7" spans="1:6" x14ac:dyDescent="0.25">
      <c r="A7" t="s">
        <v>87</v>
      </c>
      <c r="B7" s="18">
        <v>858000000</v>
      </c>
      <c r="C7" s="18">
        <v>911000000</v>
      </c>
      <c r="D7" s="18">
        <v>852000000</v>
      </c>
      <c r="E7" s="18">
        <v>756000000</v>
      </c>
      <c r="F7" s="8" t="s">
        <v>88</v>
      </c>
    </row>
    <row r="8" spans="1:6" x14ac:dyDescent="0.25">
      <c r="A8" t="s">
        <v>89</v>
      </c>
      <c r="B8" s="18">
        <v>480000000</v>
      </c>
      <c r="C8" s="18">
        <v>370000000</v>
      </c>
      <c r="D8" s="18">
        <v>418000000</v>
      </c>
      <c r="E8" s="18">
        <v>535000000</v>
      </c>
      <c r="F8" s="8" t="s">
        <v>90</v>
      </c>
    </row>
    <row r="9" spans="1:6" x14ac:dyDescent="0.25">
      <c r="A9" t="s">
        <v>91</v>
      </c>
      <c r="B9" s="18">
        <v>-14326000000</v>
      </c>
      <c r="C9" s="18">
        <v>-16030000000</v>
      </c>
      <c r="D9" s="18">
        <v>-8657000000</v>
      </c>
      <c r="E9" s="18">
        <v>13065000000</v>
      </c>
      <c r="F9" s="8" t="s">
        <v>92</v>
      </c>
    </row>
    <row r="10" spans="1:6" x14ac:dyDescent="0.25">
      <c r="A10" t="s">
        <v>93</v>
      </c>
      <c r="B10" s="18">
        <v>15681000000</v>
      </c>
      <c r="C10" s="18">
        <v>14428000000</v>
      </c>
      <c r="D10" s="18">
        <v>15455000000</v>
      </c>
      <c r="E10" s="18">
        <v>15715000000</v>
      </c>
      <c r="F10" s="8" t="s">
        <v>94</v>
      </c>
    </row>
    <row r="11" spans="1:6" x14ac:dyDescent="0.25">
      <c r="A11" t="s">
        <v>95</v>
      </c>
      <c r="B11" s="18">
        <v>17997000000</v>
      </c>
      <c r="C11" s="18">
        <v>17301000000</v>
      </c>
      <c r="D11" s="18">
        <v>17189000000</v>
      </c>
      <c r="E11" s="18">
        <v>24517000000</v>
      </c>
      <c r="F11" s="8" t="s">
        <v>96</v>
      </c>
    </row>
    <row r="12" spans="1:6" x14ac:dyDescent="0.25">
      <c r="A12" t="s">
        <v>32</v>
      </c>
      <c r="B12" s="34">
        <v>144017586</v>
      </c>
      <c r="C12" s="34">
        <v>144801127</v>
      </c>
      <c r="D12" s="34">
        <v>146354478</v>
      </c>
      <c r="E12" s="34">
        <v>149578329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54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